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0 Annual Update\Transco_OKTCo_SWTCo\Filed Documents 7-1-20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Summary!$C$1:$I$40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 calcMode="manual"/>
  <pivotCaches>
    <pivotCache cacheId="59" r:id="rId5"/>
  </pivotCaches>
</workbook>
</file>

<file path=xl/calcChain.xml><?xml version="1.0" encoding="utf-8"?>
<calcChain xmlns="http://schemas.openxmlformats.org/spreadsheetml/2006/main">
  <c r="H181" i="18" l="1"/>
  <c r="H177" i="18"/>
  <c r="H155" i="18"/>
  <c r="H146" i="18"/>
  <c r="H129" i="18"/>
  <c r="H120" i="18"/>
  <c r="H98" i="18"/>
  <c r="H94" i="18"/>
  <c r="H72" i="18"/>
  <c r="H68" i="18"/>
  <c r="H46" i="18"/>
  <c r="H37" i="18"/>
  <c r="H20" i="18"/>
  <c r="L3" i="18"/>
  <c r="L6" i="18"/>
  <c r="H206" i="18"/>
  <c r="H24" i="18" l="1"/>
  <c r="H50" i="18"/>
  <c r="H81" i="18"/>
  <c r="H107" i="18"/>
  <c r="H133" i="18"/>
  <c r="H164" i="18"/>
  <c r="H190" i="18"/>
  <c r="H33" i="18"/>
  <c r="H59" i="18"/>
  <c r="H85" i="18"/>
  <c r="H116" i="18"/>
  <c r="H142" i="18"/>
  <c r="H168" i="18"/>
  <c r="H194" i="18"/>
  <c r="H203" i="18"/>
  <c r="H21" i="18"/>
  <c r="H25" i="18"/>
  <c r="H34" i="18"/>
  <c r="H38" i="18"/>
  <c r="H47" i="18"/>
  <c r="H56" i="18"/>
  <c r="H60" i="18"/>
  <c r="H69" i="18"/>
  <c r="H73" i="18"/>
  <c r="H82" i="18"/>
  <c r="H86" i="18"/>
  <c r="H95" i="18"/>
  <c r="H104" i="18"/>
  <c r="H108" i="18"/>
  <c r="H117" i="18"/>
  <c r="H121" i="18"/>
  <c r="H130" i="18"/>
  <c r="H134" i="18"/>
  <c r="H143" i="18"/>
  <c r="H152" i="18"/>
  <c r="H156" i="18"/>
  <c r="H165" i="18"/>
  <c r="H169" i="18"/>
  <c r="H178" i="18"/>
  <c r="H182" i="18"/>
  <c r="H191" i="18"/>
  <c r="H200" i="18"/>
  <c r="H204" i="18"/>
  <c r="H22" i="18"/>
  <c r="H26" i="18"/>
  <c r="H35" i="18"/>
  <c r="H44" i="18"/>
  <c r="H48" i="18"/>
  <c r="H57" i="18"/>
  <c r="H61" i="18"/>
  <c r="H70" i="18"/>
  <c r="H74" i="18"/>
  <c r="H83" i="18"/>
  <c r="H92" i="18"/>
  <c r="H96" i="18"/>
  <c r="H105" i="18"/>
  <c r="H109" i="18"/>
  <c r="H118" i="18"/>
  <c r="H122" i="18"/>
  <c r="H131" i="18"/>
  <c r="H140" i="18"/>
  <c r="H144" i="18"/>
  <c r="H153" i="18"/>
  <c r="H157" i="18"/>
  <c r="H166" i="18"/>
  <c r="H170" i="18"/>
  <c r="H179" i="18"/>
  <c r="H188" i="18"/>
  <c r="H192" i="18"/>
  <c r="H201" i="18"/>
  <c r="H205" i="18"/>
  <c r="H23" i="18"/>
  <c r="H32" i="18"/>
  <c r="H36" i="18"/>
  <c r="H45" i="18"/>
  <c r="H49" i="18"/>
  <c r="H58" i="18"/>
  <c r="H62" i="18"/>
  <c r="H71" i="18"/>
  <c r="H80" i="18"/>
  <c r="H84" i="18"/>
  <c r="H93" i="18"/>
  <c r="H97" i="18"/>
  <c r="H106" i="18"/>
  <c r="H110" i="18"/>
  <c r="H119" i="18"/>
  <c r="H128" i="18"/>
  <c r="H132" i="18"/>
  <c r="H141" i="18"/>
  <c r="H145" i="18"/>
  <c r="H154" i="18"/>
  <c r="H158" i="18"/>
  <c r="H167" i="18"/>
  <c r="H176" i="18"/>
  <c r="H180" i="18"/>
  <c r="H189" i="18"/>
  <c r="H193" i="18"/>
  <c r="H202" i="18"/>
  <c r="H208" i="18" l="1"/>
  <c r="H196" i="18"/>
  <c r="H184" i="18"/>
  <c r="H172" i="18"/>
  <c r="H160" i="18"/>
  <c r="H148" i="18"/>
  <c r="H136" i="18"/>
  <c r="H124" i="18"/>
  <c r="H112" i="18"/>
  <c r="H100" i="18"/>
  <c r="H88" i="18"/>
  <c r="H76" i="18"/>
  <c r="H64" i="18"/>
  <c r="H52" i="18"/>
  <c r="H40" i="18"/>
  <c r="H207" i="18"/>
  <c r="H195" i="18"/>
  <c r="H183" i="18"/>
  <c r="H175" i="18"/>
  <c r="H159" i="18"/>
  <c r="H147" i="18"/>
  <c r="H139" i="18"/>
  <c r="H123" i="18"/>
  <c r="H115" i="18"/>
  <c r="H103" i="18"/>
  <c r="H87" i="18"/>
  <c r="H75" i="18"/>
  <c r="H63" i="18"/>
  <c r="H51" i="18"/>
  <c r="H43" i="18"/>
  <c r="H198" i="18"/>
  <c r="H186" i="18"/>
  <c r="H162" i="18"/>
  <c r="H138" i="18"/>
  <c r="H114" i="18"/>
  <c r="H102" i="18"/>
  <c r="H66" i="18"/>
  <c r="H42" i="18"/>
  <c r="H197" i="18"/>
  <c r="H173" i="18"/>
  <c r="H161" i="18"/>
  <c r="H137" i="18"/>
  <c r="H125" i="18"/>
  <c r="H113" i="18"/>
  <c r="H77" i="18"/>
  <c r="H53" i="18"/>
  <c r="H211" i="18"/>
  <c r="H199" i="18"/>
  <c r="H187" i="18"/>
  <c r="H171" i="18"/>
  <c r="H163" i="18"/>
  <c r="H151" i="18"/>
  <c r="H135" i="18"/>
  <c r="H127" i="18"/>
  <c r="H111" i="18"/>
  <c r="H99" i="18"/>
  <c r="H91" i="18"/>
  <c r="H79" i="18"/>
  <c r="H67" i="18"/>
  <c r="H55" i="18"/>
  <c r="H39" i="18"/>
  <c r="H174" i="18"/>
  <c r="H150" i="18"/>
  <c r="H126" i="18"/>
  <c r="H90" i="18"/>
  <c r="H78" i="18"/>
  <c r="H54" i="18"/>
  <c r="H209" i="18"/>
  <c r="H185" i="18"/>
  <c r="H149" i="18"/>
  <c r="H101" i="18"/>
  <c r="H89" i="18"/>
  <c r="H65" i="18"/>
  <c r="H41" i="18"/>
  <c r="H210" i="18"/>
  <c r="C5" i="29" l="1"/>
  <c r="O191" i="18"/>
  <c r="K1" i="18"/>
  <c r="O59" i="18"/>
  <c r="P59" i="18" s="1"/>
  <c r="O67" i="18"/>
  <c r="O210" i="18"/>
  <c r="P210" i="18" s="1"/>
  <c r="O202" i="18"/>
  <c r="O178" i="18"/>
  <c r="O146" i="18"/>
  <c r="O138" i="18"/>
  <c r="O98" i="18"/>
  <c r="O90" i="18"/>
  <c r="P90" i="18" s="1"/>
  <c r="O38" i="18"/>
  <c r="O209" i="18"/>
  <c r="O181" i="18"/>
  <c r="P181" i="18" s="1"/>
  <c r="O177" i="18"/>
  <c r="O145" i="18"/>
  <c r="O121" i="18"/>
  <c r="O97" i="18"/>
  <c r="O81" i="18"/>
  <c r="P81" i="18" s="1"/>
  <c r="O73" i="18"/>
  <c r="O49" i="18"/>
  <c r="O25" i="18"/>
  <c r="O208" i="18"/>
  <c r="O180" i="18"/>
  <c r="O160" i="18"/>
  <c r="O152" i="18"/>
  <c r="O120" i="18"/>
  <c r="O100" i="18"/>
  <c r="O96" i="18"/>
  <c r="O72" i="18"/>
  <c r="O52" i="18"/>
  <c r="O48" i="18"/>
  <c r="O23" i="18"/>
  <c r="O119" i="18"/>
  <c r="P119" i="18" s="1"/>
  <c r="O135" i="18"/>
  <c r="P191" i="18"/>
  <c r="P121" i="18"/>
  <c r="P98" i="18"/>
  <c r="P97" i="18"/>
  <c r="P71" i="18"/>
  <c r="P38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3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50" i="18" s="1"/>
  <c r="J19" i="18"/>
  <c r="D43" i="18"/>
  <c r="D67" i="18" s="1"/>
  <c r="D79" i="18" s="1"/>
  <c r="B31" i="18"/>
  <c r="D42" i="18"/>
  <c r="D66" i="18" s="1"/>
  <c r="D54" i="18"/>
  <c r="B30" i="18"/>
  <c r="D41" i="18"/>
  <c r="D65" i="18"/>
  <c r="D89" i="18" s="1"/>
  <c r="D101" i="18" s="1"/>
  <c r="D113" i="18" s="1"/>
  <c r="D125" i="18" s="1"/>
  <c r="D137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B16" i="18"/>
  <c r="J1" i="18"/>
  <c r="C43" i="18"/>
  <c r="B175" i="18"/>
  <c r="B174" i="18"/>
  <c r="B173" i="18"/>
  <c r="B172" i="18"/>
  <c r="B171" i="18"/>
  <c r="C38" i="18"/>
  <c r="B170" i="18"/>
  <c r="C37" i="18"/>
  <c r="C61" i="18" s="1"/>
  <c r="B169" i="18"/>
  <c r="B168" i="18"/>
  <c r="B167" i="18"/>
  <c r="B166" i="18"/>
  <c r="C33" i="18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59" i="18" s="1"/>
  <c r="C83" i="18" s="1"/>
  <c r="C95" i="18" s="1"/>
  <c r="C107" i="18" s="1"/>
  <c r="C119" i="18" s="1"/>
  <c r="C131" i="18" s="1"/>
  <c r="C143" i="18" s="1"/>
  <c r="C155" i="18" s="1"/>
  <c r="C34" i="18"/>
  <c r="C46" i="18" s="1"/>
  <c r="C41" i="18"/>
  <c r="C65" i="18"/>
  <c r="C89" i="18" s="1"/>
  <c r="C101" i="18" s="1"/>
  <c r="C113" i="18" s="1"/>
  <c r="C125" i="18" s="1"/>
  <c r="C137" i="18" s="1"/>
  <c r="C149" i="18" s="1"/>
  <c r="C161" i="18" s="1"/>
  <c r="D36" i="18"/>
  <c r="D60" i="18" s="1"/>
  <c r="D84" i="18" s="1"/>
  <c r="D96" i="18" s="1"/>
  <c r="D108" i="18" s="1"/>
  <c r="D120" i="18" s="1"/>
  <c r="D132" i="18" s="1"/>
  <c r="D144" i="18" s="1"/>
  <c r="D156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3" i="18"/>
  <c r="D63" i="18"/>
  <c r="D35" i="18"/>
  <c r="D37" i="18"/>
  <c r="D40" i="18"/>
  <c r="D64" i="18"/>
  <c r="D76" i="18" s="1"/>
  <c r="C72" i="18"/>
  <c r="D33" i="18"/>
  <c r="D34" i="18"/>
  <c r="D46" i="18" s="1"/>
  <c r="D57" i="18"/>
  <c r="D69" i="18"/>
  <c r="C54" i="18"/>
  <c r="C66" i="18"/>
  <c r="C78" i="18"/>
  <c r="D45" i="18"/>
  <c r="D77" i="18"/>
  <c r="D149" i="18"/>
  <c r="D161" i="18" s="1"/>
  <c r="D185" i="18" s="1"/>
  <c r="D197" i="18" s="1"/>
  <c r="D209" i="18" s="1"/>
  <c r="C49" i="18"/>
  <c r="D53" i="18"/>
  <c r="C90" i="18"/>
  <c r="C102" i="18" s="1"/>
  <c r="C114" i="18" s="1"/>
  <c r="C126" i="18" s="1"/>
  <c r="C138" i="18" s="1"/>
  <c r="C150" i="18" s="1"/>
  <c r="C162" i="18" s="1"/>
  <c r="D55" i="18"/>
  <c r="C51" i="18"/>
  <c r="C63" i="18"/>
  <c r="C58" i="18"/>
  <c r="D48" i="18"/>
  <c r="C73" i="18"/>
  <c r="C85" i="18"/>
  <c r="C97" i="18" s="1"/>
  <c r="C109" i="18" s="1"/>
  <c r="C121" i="18" s="1"/>
  <c r="C133" i="18" s="1"/>
  <c r="C145" i="18" s="1"/>
  <c r="C157" i="18" s="1"/>
  <c r="D81" i="18"/>
  <c r="D93" i="18" s="1"/>
  <c r="D105" i="18" s="1"/>
  <c r="D117" i="18" s="1"/>
  <c r="D129" i="18"/>
  <c r="D141" i="18"/>
  <c r="D153" i="18" s="1"/>
  <c r="D62" i="18"/>
  <c r="D74" i="18" s="1"/>
  <c r="D52" i="18"/>
  <c r="C45" i="18"/>
  <c r="C57" i="18"/>
  <c r="C81" i="18" s="1"/>
  <c r="C71" i="18"/>
  <c r="C69" i="18"/>
  <c r="C93" i="18"/>
  <c r="C105" i="18" s="1"/>
  <c r="C117" i="18" s="1"/>
  <c r="C129" i="18" s="1"/>
  <c r="C141" i="18" s="1"/>
  <c r="C153" i="18" s="1"/>
  <c r="O139" i="18"/>
  <c r="O107" i="18"/>
  <c r="O175" i="18"/>
  <c r="P175" i="18" s="1"/>
  <c r="O91" i="18"/>
  <c r="P91" i="18" s="1"/>
  <c r="O99" i="18"/>
  <c r="O163" i="18"/>
  <c r="P163" i="18" s="1"/>
  <c r="O190" i="18"/>
  <c r="P190" i="18" s="1"/>
  <c r="O174" i="18"/>
  <c r="O126" i="18"/>
  <c r="P126" i="18" s="1"/>
  <c r="O110" i="18"/>
  <c r="O78" i="18"/>
  <c r="O30" i="18"/>
  <c r="O173" i="18"/>
  <c r="O157" i="18"/>
  <c r="O125" i="18"/>
  <c r="O109" i="18"/>
  <c r="O77" i="18"/>
  <c r="O61" i="18"/>
  <c r="P61" i="18" s="1"/>
  <c r="O204" i="18"/>
  <c r="O188" i="18"/>
  <c r="O140" i="18"/>
  <c r="P140" i="18" s="1"/>
  <c r="O92" i="18"/>
  <c r="O60" i="18"/>
  <c r="P60" i="18" s="1"/>
  <c r="O44" i="18"/>
  <c r="O103" i="18"/>
  <c r="O167" i="18"/>
  <c r="P167" i="18" s="1"/>
  <c r="O183" i="18"/>
  <c r="O20" i="18"/>
  <c r="O84" i="18"/>
  <c r="O104" i="18"/>
  <c r="P104" i="18" s="1"/>
  <c r="O128" i="18"/>
  <c r="P128" i="18" s="1"/>
  <c r="O148" i="18"/>
  <c r="P148" i="18" s="1"/>
  <c r="O168" i="18"/>
  <c r="O192" i="18"/>
  <c r="O21" i="18"/>
  <c r="P21" i="18" s="1"/>
  <c r="O41" i="18"/>
  <c r="O65" i="18"/>
  <c r="O85" i="18"/>
  <c r="O105" i="18"/>
  <c r="O129" i="18"/>
  <c r="O149" i="18"/>
  <c r="O169" i="18"/>
  <c r="P169" i="18" s="1"/>
  <c r="O193" i="18"/>
  <c r="P193" i="18" s="1"/>
  <c r="O22" i="18"/>
  <c r="O42" i="18"/>
  <c r="P42" i="18" s="1"/>
  <c r="O66" i="18"/>
  <c r="O86" i="18"/>
  <c r="O106" i="18"/>
  <c r="P106" i="18"/>
  <c r="O130" i="18"/>
  <c r="P130" i="18" s="1"/>
  <c r="O150" i="18"/>
  <c r="P150" i="18" s="1"/>
  <c r="O170" i="18"/>
  <c r="O194" i="18"/>
  <c r="O195" i="18"/>
  <c r="P195" i="18" s="1"/>
  <c r="O115" i="18"/>
  <c r="P115" i="18" s="1"/>
  <c r="O187" i="18"/>
  <c r="O27" i="18"/>
  <c r="O79" i="18"/>
  <c r="O43" i="18"/>
  <c r="O159" i="18"/>
  <c r="P152" i="18"/>
  <c r="O75" i="18"/>
  <c r="P65" i="18"/>
  <c r="O198" i="18"/>
  <c r="P198" i="18"/>
  <c r="O147" i="18"/>
  <c r="O51" i="18"/>
  <c r="O207" i="18"/>
  <c r="O171" i="18"/>
  <c r="P171" i="18" s="1"/>
  <c r="O211" i="18"/>
  <c r="P135" i="18"/>
  <c r="P86" i="18"/>
  <c r="O58" i="18"/>
  <c r="O114" i="18"/>
  <c r="O166" i="18"/>
  <c r="P166" i="18" s="1"/>
  <c r="O83" i="18"/>
  <c r="P83" i="18" s="1"/>
  <c r="O203" i="18"/>
  <c r="P203" i="18" s="1"/>
  <c r="P147" i="18"/>
  <c r="P146" i="18"/>
  <c r="O95" i="18"/>
  <c r="P95" i="18" s="1"/>
  <c r="O63" i="18"/>
  <c r="P63" i="18" s="1"/>
  <c r="O111" i="18"/>
  <c r="P111" i="18" s="1"/>
  <c r="O131" i="18"/>
  <c r="P131" i="18" s="1"/>
  <c r="O186" i="18"/>
  <c r="O162" i="18"/>
  <c r="P162" i="18" s="1"/>
  <c r="O134" i="18"/>
  <c r="O102" i="18"/>
  <c r="P102" i="18" s="1"/>
  <c r="O82" i="18"/>
  <c r="O54" i="18"/>
  <c r="O34" i="18"/>
  <c r="O197" i="18"/>
  <c r="P197" i="18" s="1"/>
  <c r="O165" i="18"/>
  <c r="O137" i="18"/>
  <c r="P137" i="18" s="1"/>
  <c r="O117" i="18"/>
  <c r="P117" i="18" s="1"/>
  <c r="O69" i="18"/>
  <c r="P69" i="18" s="1"/>
  <c r="O37" i="18"/>
  <c r="P37" i="18" s="1"/>
  <c r="O200" i="18"/>
  <c r="P200" i="18" s="1"/>
  <c r="O176" i="18"/>
  <c r="P176" i="18" s="1"/>
  <c r="O144" i="18"/>
  <c r="O116" i="18"/>
  <c r="P116" i="18" s="1"/>
  <c r="O88" i="18"/>
  <c r="P88" i="18" s="1"/>
  <c r="O68" i="18"/>
  <c r="O36" i="18"/>
  <c r="O55" i="18"/>
  <c r="O151" i="18"/>
  <c r="P151" i="18" s="1"/>
  <c r="O31" i="18"/>
  <c r="O158" i="18"/>
  <c r="P158" i="18" s="1"/>
  <c r="O62" i="18"/>
  <c r="O205" i="18"/>
  <c r="P205" i="18" s="1"/>
  <c r="O45" i="18"/>
  <c r="P45" i="18" s="1"/>
  <c r="O172" i="18"/>
  <c r="P172" i="18" s="1"/>
  <c r="O124" i="18"/>
  <c r="O76" i="18"/>
  <c r="P76" i="18" s="1"/>
  <c r="O28" i="18"/>
  <c r="O127" i="18"/>
  <c r="P127" i="18" s="1"/>
  <c r="O40" i="18"/>
  <c r="P40" i="18" s="1"/>
  <c r="O143" i="18"/>
  <c r="P143" i="18"/>
  <c r="O155" i="18"/>
  <c r="O179" i="18"/>
  <c r="O182" i="18"/>
  <c r="P182" i="18"/>
  <c r="O154" i="18"/>
  <c r="P154" i="18" s="1"/>
  <c r="O122" i="18"/>
  <c r="P122" i="18" s="1"/>
  <c r="O74" i="18"/>
  <c r="O50" i="18"/>
  <c r="O26" i="18"/>
  <c r="P26" i="18" s="1"/>
  <c r="O185" i="18"/>
  <c r="P185" i="18" s="1"/>
  <c r="O161" i="18"/>
  <c r="O133" i="18"/>
  <c r="P133" i="18" s="1"/>
  <c r="O113" i="18"/>
  <c r="P113" i="18" s="1"/>
  <c r="O89" i="18"/>
  <c r="O57" i="18"/>
  <c r="O33" i="18"/>
  <c r="O196" i="18"/>
  <c r="P196" i="18" s="1"/>
  <c r="O164" i="18"/>
  <c r="O136" i="18"/>
  <c r="O112" i="18"/>
  <c r="O56" i="18"/>
  <c r="O32" i="18"/>
  <c r="P32" i="18" s="1"/>
  <c r="O71" i="18"/>
  <c r="O199" i="18"/>
  <c r="O47" i="18"/>
  <c r="O35" i="18"/>
  <c r="P35" i="18" s="1"/>
  <c r="O206" i="18"/>
  <c r="O142" i="18"/>
  <c r="P142" i="18" s="1"/>
  <c r="O94" i="18"/>
  <c r="P94" i="18" s="1"/>
  <c r="O46" i="18"/>
  <c r="P46" i="18" s="1"/>
  <c r="O189" i="18"/>
  <c r="P189" i="18" s="1"/>
  <c r="O141" i="18"/>
  <c r="P141" i="18" s="1"/>
  <c r="O93" i="18"/>
  <c r="O29" i="18"/>
  <c r="O156" i="18"/>
  <c r="P156" i="18" s="1"/>
  <c r="O108" i="18"/>
  <c r="O39" i="18"/>
  <c r="P39" i="18"/>
  <c r="O87" i="18"/>
  <c r="P87" i="18" s="1"/>
  <c r="O64" i="18"/>
  <c r="P64" i="18" s="1"/>
  <c r="P177" i="18"/>
  <c r="P208" i="18"/>
  <c r="P57" i="18"/>
  <c r="P165" i="18"/>
  <c r="P173" i="18"/>
  <c r="P78" i="18"/>
  <c r="E21" i="29"/>
  <c r="E36" i="29"/>
  <c r="G28" i="29"/>
  <c r="E30" i="29"/>
  <c r="E23" i="29"/>
  <c r="H30" i="29"/>
  <c r="D28" i="29"/>
  <c r="G30" i="29"/>
  <c r="D30" i="29"/>
  <c r="G27" i="29"/>
  <c r="D23" i="29"/>
  <c r="D25" i="29"/>
  <c r="G26" i="29"/>
  <c r="E27" i="29"/>
  <c r="H37" i="29"/>
  <c r="E26" i="29"/>
  <c r="D31" i="29"/>
  <c r="G23" i="29"/>
  <c r="E24" i="29"/>
  <c r="G24" i="29"/>
  <c r="G31" i="29"/>
  <c r="H26" i="29"/>
  <c r="D22" i="29"/>
  <c r="G36" i="29"/>
  <c r="H23" i="29"/>
  <c r="D21" i="29"/>
  <c r="H24" i="29"/>
  <c r="D27" i="29"/>
  <c r="H27" i="29"/>
  <c r="H22" i="29"/>
  <c r="G32" i="29"/>
  <c r="G22" i="29"/>
  <c r="G29" i="29"/>
  <c r="H36" i="29"/>
  <c r="D37" i="29"/>
  <c r="E32" i="29"/>
  <c r="E35" i="29"/>
  <c r="D24" i="29"/>
  <c r="E29" i="29"/>
  <c r="D36" i="29"/>
  <c r="D26" i="29"/>
  <c r="E33" i="29"/>
  <c r="E37" i="29"/>
  <c r="D29" i="29"/>
  <c r="D32" i="29"/>
  <c r="H33" i="29"/>
  <c r="G25" i="29"/>
  <c r="G37" i="29"/>
  <c r="H35" i="29"/>
  <c r="H32" i="29"/>
  <c r="D33" i="29"/>
  <c r="E31" i="29"/>
  <c r="G33" i="29"/>
  <c r="G21" i="29"/>
  <c r="E22" i="29"/>
  <c r="E25" i="29"/>
  <c r="H28" i="29"/>
  <c r="H25" i="29"/>
  <c r="G35" i="29"/>
  <c r="D35" i="29"/>
  <c r="E28" i="29"/>
  <c r="H31" i="29"/>
  <c r="H29" i="29"/>
  <c r="H21" i="29"/>
  <c r="J38" i="29" l="1"/>
  <c r="P56" i="18"/>
  <c r="E10" i="29"/>
  <c r="F10" i="29"/>
  <c r="E20" i="29"/>
  <c r="D20" i="29"/>
  <c r="C173" i="18"/>
  <c r="C185" i="18"/>
  <c r="C197" i="18" s="1"/>
  <c r="C209" i="18" s="1"/>
  <c r="C180" i="18"/>
  <c r="C192" i="18" s="1"/>
  <c r="C204" i="18" s="1"/>
  <c r="C168" i="18"/>
  <c r="D91" i="18"/>
  <c r="D103" i="18" s="1"/>
  <c r="D115" i="18" s="1"/>
  <c r="D127" i="18" s="1"/>
  <c r="D139" i="18" s="1"/>
  <c r="D151" i="18" s="1"/>
  <c r="D163" i="18" s="1"/>
  <c r="D187" i="18" s="1"/>
  <c r="D199" i="18" s="1"/>
  <c r="D211" i="18" s="1"/>
  <c r="D86" i="18"/>
  <c r="D98" i="18" s="1"/>
  <c r="D110" i="18" s="1"/>
  <c r="D122" i="18" s="1"/>
  <c r="D134" i="18" s="1"/>
  <c r="D146" i="18" s="1"/>
  <c r="D158" i="18" s="1"/>
  <c r="D88" i="18"/>
  <c r="D100" i="18" s="1"/>
  <c r="D112" i="18" s="1"/>
  <c r="D124" i="18" s="1"/>
  <c r="D136" i="18" s="1"/>
  <c r="D148" i="18" s="1"/>
  <c r="D160" i="18" s="1"/>
  <c r="D58" i="18"/>
  <c r="C48" i="18"/>
  <c r="D72" i="18"/>
  <c r="C77" i="18"/>
  <c r="C47" i="18"/>
  <c r="P124" i="18"/>
  <c r="P34" i="18"/>
  <c r="P207" i="18"/>
  <c r="P183" i="18"/>
  <c r="P199" i="18"/>
  <c r="P136" i="18"/>
  <c r="P55" i="18"/>
  <c r="P54" i="18"/>
  <c r="P51" i="18"/>
  <c r="P109" i="18"/>
  <c r="P30" i="18"/>
  <c r="P48" i="18"/>
  <c r="P62" i="18"/>
  <c r="P187" i="18"/>
  <c r="P105" i="18"/>
  <c r="P89" i="18"/>
  <c r="P50" i="18"/>
  <c r="P179" i="18"/>
  <c r="P31" i="18"/>
  <c r="P144" i="18"/>
  <c r="P82" i="18"/>
  <c r="P79" i="18"/>
  <c r="P22" i="18"/>
  <c r="P149" i="18"/>
  <c r="P168" i="18"/>
  <c r="P170" i="18"/>
  <c r="P174" i="18"/>
  <c r="P202" i="18"/>
  <c r="P120" i="18"/>
  <c r="G34" i="29"/>
  <c r="E38" i="29"/>
  <c r="F29" i="29"/>
  <c r="I29" i="29" s="1"/>
  <c r="K29" i="29" s="1"/>
  <c r="F31" i="29"/>
  <c r="I31" i="29" s="1"/>
  <c r="K31" i="29" s="1"/>
  <c r="F22" i="29"/>
  <c r="I22" i="29" s="1"/>
  <c r="K22" i="29" s="1"/>
  <c r="F23" i="29"/>
  <c r="I23" i="29" s="1"/>
  <c r="K23" i="29" s="1"/>
  <c r="F36" i="29"/>
  <c r="I36" i="29" s="1"/>
  <c r="K36" i="29" s="1"/>
  <c r="G38" i="29"/>
  <c r="F25" i="29"/>
  <c r="I25" i="29" s="1"/>
  <c r="K25" i="29" s="1"/>
  <c r="F30" i="29"/>
  <c r="I30" i="29" s="1"/>
  <c r="K30" i="29" s="1"/>
  <c r="F27" i="29"/>
  <c r="I27" i="29" s="1"/>
  <c r="K27" i="29" s="1"/>
  <c r="F21" i="29"/>
  <c r="D34" i="29"/>
  <c r="D38" i="29"/>
  <c r="F35" i="29"/>
  <c r="F33" i="29"/>
  <c r="I33" i="29" s="1"/>
  <c r="K33" i="29" s="1"/>
  <c r="F32" i="29"/>
  <c r="I32" i="29" s="1"/>
  <c r="K32" i="29" s="1"/>
  <c r="H38" i="29"/>
  <c r="F37" i="29"/>
  <c r="I37" i="29" s="1"/>
  <c r="K37" i="29" s="1"/>
  <c r="E34" i="29"/>
  <c r="F24" i="29"/>
  <c r="I24" i="29" s="1"/>
  <c r="K24" i="29" s="1"/>
  <c r="H34" i="29"/>
  <c r="H39" i="29" s="1"/>
  <c r="F28" i="29"/>
  <c r="I28" i="29" s="1"/>
  <c r="K28" i="29" s="1"/>
  <c r="F26" i="29"/>
  <c r="I26" i="29" s="1"/>
  <c r="K26" i="29" s="1"/>
  <c r="C181" i="18"/>
  <c r="C193" i="18" s="1"/>
  <c r="C205" i="18" s="1"/>
  <c r="C169" i="18"/>
  <c r="C165" i="18"/>
  <c r="C177" i="18"/>
  <c r="C189" i="18" s="1"/>
  <c r="C201" i="18" s="1"/>
  <c r="C167" i="18"/>
  <c r="C179" i="18"/>
  <c r="C191" i="18" s="1"/>
  <c r="C203" i="18" s="1"/>
  <c r="J34" i="29"/>
  <c r="J39" i="29" s="1"/>
  <c r="D168" i="18"/>
  <c r="D180" i="18"/>
  <c r="D192" i="18" s="1"/>
  <c r="D204" i="18" s="1"/>
  <c r="D165" i="18"/>
  <c r="D177" i="18"/>
  <c r="D189" i="18" s="1"/>
  <c r="D201" i="18" s="1"/>
  <c r="C186" i="18"/>
  <c r="C198" i="18" s="1"/>
  <c r="C210" i="18" s="1"/>
  <c r="C174" i="18"/>
  <c r="C87" i="18"/>
  <c r="C99" i="18" s="1"/>
  <c r="C111" i="18" s="1"/>
  <c r="C123" i="18" s="1"/>
  <c r="C135" i="18" s="1"/>
  <c r="C147" i="18" s="1"/>
  <c r="C159" i="18" s="1"/>
  <c r="C75" i="18"/>
  <c r="D173" i="18"/>
  <c r="D75" i="18"/>
  <c r="D87" i="18"/>
  <c r="D99" i="18" s="1"/>
  <c r="D111" i="18" s="1"/>
  <c r="D123" i="18" s="1"/>
  <c r="D135" i="18" s="1"/>
  <c r="D147" i="18" s="1"/>
  <c r="D159" i="18" s="1"/>
  <c r="D44" i="18"/>
  <c r="D56" i="18"/>
  <c r="D170" i="18"/>
  <c r="D182" i="18"/>
  <c r="D194" i="18" s="1"/>
  <c r="D206" i="18" s="1"/>
  <c r="D47" i="18"/>
  <c r="D59" i="18"/>
  <c r="C55" i="18"/>
  <c r="C67" i="18"/>
  <c r="D90" i="18"/>
  <c r="D102" i="18" s="1"/>
  <c r="D114" i="18" s="1"/>
  <c r="D126" i="18" s="1"/>
  <c r="D138" i="18" s="1"/>
  <c r="D150" i="18" s="1"/>
  <c r="D162" i="18" s="1"/>
  <c r="D78" i="18"/>
  <c r="P29" i="18"/>
  <c r="P33" i="18"/>
  <c r="P186" i="18"/>
  <c r="D175" i="18"/>
  <c r="C52" i="18"/>
  <c r="C64" i="18"/>
  <c r="C82" i="18"/>
  <c r="C94" i="18" s="1"/>
  <c r="C106" i="18" s="1"/>
  <c r="C118" i="18" s="1"/>
  <c r="C130" i="18" s="1"/>
  <c r="C142" i="18" s="1"/>
  <c r="C154" i="18" s="1"/>
  <c r="C70" i="18"/>
  <c r="C56" i="18"/>
  <c r="C44" i="18"/>
  <c r="P41" i="18"/>
  <c r="P108" i="18"/>
  <c r="P206" i="18"/>
  <c r="P159" i="18"/>
  <c r="P77" i="18"/>
  <c r="D61" i="18"/>
  <c r="D49" i="18"/>
  <c r="C50" i="18"/>
  <c r="C62" i="18"/>
  <c r="P85" i="18"/>
  <c r="P194" i="18"/>
  <c r="P139" i="18"/>
  <c r="P67" i="18"/>
  <c r="P164" i="18"/>
  <c r="P160" i="18"/>
  <c r="O123" i="18"/>
  <c r="P123" i="18" s="1"/>
  <c r="O118" i="18"/>
  <c r="O70" i="18"/>
  <c r="P70" i="18" s="1"/>
  <c r="O201" i="18"/>
  <c r="P201" i="18" s="1"/>
  <c r="O153" i="18"/>
  <c r="O101" i="18"/>
  <c r="O53" i="18"/>
  <c r="P53" i="18" s="1"/>
  <c r="O184" i="18"/>
  <c r="P184" i="18" s="1"/>
  <c r="O132" i="18"/>
  <c r="O80" i="18"/>
  <c r="P80" i="18" s="1"/>
  <c r="O24" i="18"/>
  <c r="P24" i="18" s="1"/>
  <c r="P107" i="18"/>
  <c r="P74" i="18"/>
  <c r="G212" i="18"/>
  <c r="P58" i="18"/>
  <c r="P66" i="18"/>
  <c r="P211" i="18"/>
  <c r="P84" i="18"/>
  <c r="P92" i="18"/>
  <c r="P96" i="18"/>
  <c r="P110" i="18"/>
  <c r="P114" i="18"/>
  <c r="P118" i="18"/>
  <c r="P125" i="18"/>
  <c r="P129" i="18"/>
  <c r="P145" i="18"/>
  <c r="P153" i="18"/>
  <c r="P157" i="18"/>
  <c r="P161" i="18"/>
  <c r="P180" i="18"/>
  <c r="P188" i="18"/>
  <c r="P192" i="18"/>
  <c r="P204" i="18"/>
  <c r="P99" i="18"/>
  <c r="P103" i="18"/>
  <c r="P23" i="18"/>
  <c r="P27" i="18"/>
  <c r="P43" i="18"/>
  <c r="P47" i="18"/>
  <c r="P75" i="18"/>
  <c r="P93" i="18"/>
  <c r="P100" i="18"/>
  <c r="P134" i="18"/>
  <c r="P138" i="18"/>
  <c r="P209" i="18"/>
  <c r="P20" i="18"/>
  <c r="P28" i="18"/>
  <c r="P36" i="18"/>
  <c r="P44" i="18"/>
  <c r="P52" i="18"/>
  <c r="P68" i="18"/>
  <c r="P72" i="18"/>
  <c r="P101" i="18"/>
  <c r="P112" i="18"/>
  <c r="P132" i="18"/>
  <c r="P155" i="18"/>
  <c r="P178" i="18"/>
  <c r="P25" i="18"/>
  <c r="P49" i="18"/>
  <c r="P73" i="18"/>
  <c r="E39" i="29" l="1"/>
  <c r="O13" i="18"/>
  <c r="D172" i="18"/>
  <c r="D184" i="18"/>
  <c r="D196" i="18" s="1"/>
  <c r="D208" i="18" s="1"/>
  <c r="D82" i="18"/>
  <c r="D94" i="18" s="1"/>
  <c r="D106" i="18" s="1"/>
  <c r="D118" i="18" s="1"/>
  <c r="D130" i="18" s="1"/>
  <c r="D142" i="18" s="1"/>
  <c r="D154" i="18" s="1"/>
  <c r="D70" i="18"/>
  <c r="C74" i="18"/>
  <c r="C86" i="18"/>
  <c r="C98" i="18" s="1"/>
  <c r="C110" i="18" s="1"/>
  <c r="C122" i="18" s="1"/>
  <c r="C134" i="18" s="1"/>
  <c r="C146" i="18" s="1"/>
  <c r="C158" i="18" s="1"/>
  <c r="D83" i="18"/>
  <c r="D95" i="18" s="1"/>
  <c r="D107" i="18" s="1"/>
  <c r="D119" i="18" s="1"/>
  <c r="D131" i="18" s="1"/>
  <c r="D143" i="18" s="1"/>
  <c r="D155" i="18" s="1"/>
  <c r="D71" i="18"/>
  <c r="I21" i="29"/>
  <c r="F34" i="29"/>
  <c r="F39" i="29" s="1"/>
  <c r="O14" i="18"/>
  <c r="C178" i="18"/>
  <c r="C190" i="18" s="1"/>
  <c r="C202" i="18" s="1"/>
  <c r="C166" i="18"/>
  <c r="D186" i="18"/>
  <c r="D198" i="18" s="1"/>
  <c r="D210" i="18" s="1"/>
  <c r="D174" i="18"/>
  <c r="D171" i="18"/>
  <c r="D183" i="18"/>
  <c r="D195" i="18" s="1"/>
  <c r="D207" i="18" s="1"/>
  <c r="C183" i="18"/>
  <c r="C195" i="18" s="1"/>
  <c r="C207" i="18" s="1"/>
  <c r="C171" i="18"/>
  <c r="F38" i="29"/>
  <c r="I35" i="29"/>
  <c r="C76" i="18"/>
  <c r="C88" i="18"/>
  <c r="C100" i="18" s="1"/>
  <c r="C112" i="18" s="1"/>
  <c r="C124" i="18" s="1"/>
  <c r="C136" i="18" s="1"/>
  <c r="C148" i="18" s="1"/>
  <c r="C160" i="18" s="1"/>
  <c r="C91" i="18"/>
  <c r="C103" i="18" s="1"/>
  <c r="C115" i="18" s="1"/>
  <c r="C127" i="18" s="1"/>
  <c r="C139" i="18" s="1"/>
  <c r="C151" i="18" s="1"/>
  <c r="C163" i="18" s="1"/>
  <c r="C79" i="18"/>
  <c r="D73" i="18"/>
  <c r="D85" i="18"/>
  <c r="D97" i="18" s="1"/>
  <c r="D109" i="18" s="1"/>
  <c r="D121" i="18" s="1"/>
  <c r="D133" i="18" s="1"/>
  <c r="D145" i="18" s="1"/>
  <c r="D157" i="18" s="1"/>
  <c r="C80" i="18"/>
  <c r="C92" i="18" s="1"/>
  <c r="C104" i="18" s="1"/>
  <c r="C116" i="18" s="1"/>
  <c r="C128" i="18" s="1"/>
  <c r="C140" i="18" s="1"/>
  <c r="C152" i="18" s="1"/>
  <c r="C68" i="18"/>
  <c r="D68" i="18"/>
  <c r="D80" i="18"/>
  <c r="D92" i="18" s="1"/>
  <c r="D104" i="18" s="1"/>
  <c r="D116" i="18" s="1"/>
  <c r="D128" i="18" s="1"/>
  <c r="D140" i="18" s="1"/>
  <c r="D152" i="18" s="1"/>
  <c r="D39" i="29"/>
  <c r="G39" i="29"/>
  <c r="P14" i="18"/>
  <c r="P212" i="18"/>
  <c r="P13" i="18"/>
  <c r="D178" i="18" l="1"/>
  <c r="D190" i="18" s="1"/>
  <c r="D202" i="18" s="1"/>
  <c r="D166" i="18"/>
  <c r="C172" i="18"/>
  <c r="C184" i="18"/>
  <c r="C196" i="18" s="1"/>
  <c r="C208" i="18" s="1"/>
  <c r="K35" i="29"/>
  <c r="I38" i="29"/>
  <c r="K38" i="29" s="1"/>
  <c r="C170" i="18"/>
  <c r="C182" i="18"/>
  <c r="C194" i="18" s="1"/>
  <c r="C206" i="18" s="1"/>
  <c r="I34" i="29"/>
  <c r="K21" i="29"/>
  <c r="C164" i="18"/>
  <c r="C176" i="18"/>
  <c r="C188" i="18" s="1"/>
  <c r="C200" i="18" s="1"/>
  <c r="D164" i="18"/>
  <c r="D176" i="18"/>
  <c r="D188" i="18" s="1"/>
  <c r="D200" i="18" s="1"/>
  <c r="D181" i="18"/>
  <c r="D193" i="18" s="1"/>
  <c r="D205" i="18" s="1"/>
  <c r="D169" i="18"/>
  <c r="C187" i="18"/>
  <c r="C199" i="18" s="1"/>
  <c r="C211" i="18" s="1"/>
  <c r="C175" i="18"/>
  <c r="D179" i="18"/>
  <c r="D191" i="18" s="1"/>
  <c r="D203" i="18" s="1"/>
  <c r="D167" i="18"/>
  <c r="K34" i="29" l="1"/>
  <c r="I39" i="29"/>
  <c r="K39" i="29" l="1"/>
  <c r="E11" i="29"/>
  <c r="K94" i="18" l="1"/>
  <c r="K144" i="18"/>
  <c r="H31" i="18"/>
  <c r="K31" i="18" s="1"/>
  <c r="K148" i="18"/>
  <c r="K110" i="18"/>
  <c r="K155" i="18"/>
  <c r="K120" i="18"/>
  <c r="K41" i="18"/>
  <c r="K90" i="18"/>
  <c r="K83" i="18"/>
  <c r="K157" i="18"/>
  <c r="K112" i="18"/>
  <c r="K87" i="18"/>
  <c r="K57" i="18"/>
  <c r="H30" i="18"/>
  <c r="K30" i="18" s="1"/>
  <c r="K104" i="18"/>
  <c r="K162" i="18"/>
  <c r="K21" i="18"/>
  <c r="K49" i="18"/>
  <c r="K179" i="18"/>
  <c r="K199" i="18"/>
  <c r="K208" i="18"/>
  <c r="K125" i="18"/>
  <c r="K152" i="18"/>
  <c r="K154" i="18"/>
  <c r="K55" i="18"/>
  <c r="K47" i="18"/>
  <c r="K129" i="18"/>
  <c r="K153" i="18"/>
  <c r="K74" i="18"/>
  <c r="K177" i="18"/>
  <c r="K184" i="18"/>
  <c r="K209" i="18"/>
  <c r="K42" i="18"/>
  <c r="K174" i="18"/>
  <c r="K186" i="18"/>
  <c r="K170" i="18"/>
  <c r="K158" i="18"/>
  <c r="K145" i="18"/>
  <c r="K205" i="18"/>
  <c r="K139" i="18"/>
  <c r="H27" i="18"/>
  <c r="K27" i="18" s="1"/>
  <c r="K85" i="18"/>
  <c r="K137" i="18"/>
  <c r="K43" i="18"/>
  <c r="K165" i="18"/>
  <c r="K84" i="18"/>
  <c r="K25" i="18"/>
  <c r="K207" i="18"/>
  <c r="K69" i="18"/>
  <c r="K91" i="18"/>
  <c r="K192" i="18"/>
  <c r="K119" i="18"/>
  <c r="K122" i="18"/>
  <c r="K23" i="18"/>
  <c r="K77" i="18"/>
  <c r="K48" i="18"/>
  <c r="K39" i="18"/>
  <c r="K178" i="18"/>
  <c r="K45" i="18"/>
  <c r="K175" i="18"/>
  <c r="K126" i="18"/>
  <c r="K100" i="18"/>
  <c r="K52" i="18"/>
  <c r="K73" i="18"/>
  <c r="H28" i="18"/>
  <c r="K28" i="18" s="1"/>
  <c r="K80" i="18"/>
  <c r="K203" i="18"/>
  <c r="K181" i="18"/>
  <c r="K130" i="18"/>
  <c r="K62" i="18"/>
  <c r="K34" i="18"/>
  <c r="K40" i="18"/>
  <c r="K206" i="18"/>
  <c r="K33" i="18"/>
  <c r="K20" i="18"/>
  <c r="K81" i="18"/>
  <c r="K92" i="18"/>
  <c r="K189" i="18"/>
  <c r="K75" i="18"/>
  <c r="K60" i="18"/>
  <c r="K151" i="18"/>
  <c r="K65" i="18"/>
  <c r="K194" i="18"/>
  <c r="K160" i="18"/>
  <c r="K99" i="18"/>
  <c r="K118" i="18"/>
  <c r="K136" i="18"/>
  <c r="K134" i="18"/>
  <c r="K124" i="18"/>
  <c r="K173" i="18"/>
  <c r="K59" i="18"/>
  <c r="K68" i="18"/>
  <c r="K95" i="18"/>
  <c r="K97" i="18"/>
  <c r="K117" i="18"/>
  <c r="K24" i="18"/>
  <c r="K197" i="18"/>
  <c r="K191" i="18"/>
  <c r="K64" i="18"/>
  <c r="K121" i="18"/>
  <c r="K26" i="18"/>
  <c r="K56" i="18"/>
  <c r="K71" i="18"/>
  <c r="K146" i="18"/>
  <c r="K180" i="18"/>
  <c r="K159" i="18"/>
  <c r="K185" i="18"/>
  <c r="K98" i="18"/>
  <c r="K172" i="18"/>
  <c r="K169" i="18"/>
  <c r="K58" i="18"/>
  <c r="K44" i="18"/>
  <c r="K102" i="18"/>
  <c r="K66" i="18"/>
  <c r="K127" i="18"/>
  <c r="K67" i="18"/>
  <c r="K63" i="18"/>
  <c r="K142" i="18"/>
  <c r="K38" i="18"/>
  <c r="K61" i="18"/>
  <c r="K156" i="18"/>
  <c r="K141" i="18"/>
  <c r="K109" i="18"/>
  <c r="K210" i="18"/>
  <c r="K143" i="18"/>
  <c r="K88" i="18"/>
  <c r="K35" i="18"/>
  <c r="K128" i="18"/>
  <c r="K164" i="18"/>
  <c r="K201" i="18"/>
  <c r="K106" i="18"/>
  <c r="K96" i="18"/>
  <c r="K161" i="18"/>
  <c r="K149" i="18"/>
  <c r="K36" i="18"/>
  <c r="K133" i="18"/>
  <c r="K187" i="18"/>
  <c r="K46" i="18"/>
  <c r="K211" i="18"/>
  <c r="K168" i="18"/>
  <c r="K163" i="18"/>
  <c r="K114" i="18"/>
  <c r="K204" i="18"/>
  <c r="K171" i="18"/>
  <c r="K200" i="18"/>
  <c r="K188" i="18"/>
  <c r="K108" i="18"/>
  <c r="K202" i="18"/>
  <c r="K70" i="18"/>
  <c r="K116" i="18"/>
  <c r="K131" i="18"/>
  <c r="K115" i="18"/>
  <c r="K22" i="18"/>
  <c r="K140" i="18"/>
  <c r="K111" i="18"/>
  <c r="K105" i="18"/>
  <c r="K50" i="18"/>
  <c r="K132" i="18"/>
  <c r="K190" i="18"/>
  <c r="K93" i="18"/>
  <c r="K107" i="18"/>
  <c r="K113" i="18"/>
  <c r="E13" i="29"/>
  <c r="K53" i="18"/>
  <c r="K150" i="18"/>
  <c r="K78" i="18"/>
  <c r="H29" i="18"/>
  <c r="K29" i="18" s="1"/>
  <c r="K195" i="18"/>
  <c r="K176" i="18"/>
  <c r="K32" i="18"/>
  <c r="K167" i="18"/>
  <c r="K72" i="18"/>
  <c r="K135" i="18"/>
  <c r="K37" i="18"/>
  <c r="K147" i="18"/>
  <c r="K138" i="18"/>
  <c r="K51" i="18"/>
  <c r="K123" i="18"/>
  <c r="K89" i="18"/>
  <c r="K86" i="18"/>
  <c r="K54" i="18"/>
  <c r="K103" i="18"/>
  <c r="K82" i="18"/>
  <c r="K183" i="18"/>
  <c r="K166" i="18"/>
  <c r="K101" i="18"/>
  <c r="K79" i="18"/>
  <c r="K196" i="18"/>
  <c r="K193" i="18"/>
  <c r="K198" i="18"/>
  <c r="K76" i="18"/>
  <c r="K182" i="18"/>
  <c r="K14" i="18" l="1"/>
  <c r="K212" i="18"/>
  <c r="K13" i="18"/>
  <c r="F12" i="29" l="1"/>
  <c r="M21" i="18" l="1"/>
  <c r="M102" i="18"/>
  <c r="M75" i="18"/>
  <c r="M201" i="18"/>
  <c r="M97" i="18"/>
  <c r="M88" i="18"/>
  <c r="M167" i="18"/>
  <c r="M121" i="18"/>
  <c r="M53" i="18"/>
  <c r="M67" i="18"/>
  <c r="M139" i="18"/>
  <c r="M34" i="18"/>
  <c r="M83" i="18"/>
  <c r="M197" i="18"/>
  <c r="M43" i="18"/>
  <c r="M99" i="18"/>
  <c r="M74" i="18"/>
  <c r="M81" i="18"/>
  <c r="M187" i="18"/>
  <c r="M120" i="18"/>
  <c r="M80" i="18"/>
  <c r="M138" i="18"/>
  <c r="M149" i="18"/>
  <c r="M157" i="18"/>
  <c r="M198" i="18"/>
  <c r="M161" i="18"/>
  <c r="M112" i="18"/>
  <c r="M154" i="18"/>
  <c r="M42" i="18"/>
  <c r="M89" i="18"/>
  <c r="M61" i="18"/>
  <c r="M25" i="18"/>
  <c r="M188" i="18"/>
  <c r="M205" i="18"/>
  <c r="M141" i="18"/>
  <c r="M160" i="18"/>
  <c r="M51" i="18"/>
  <c r="M76" i="18"/>
  <c r="M203" i="18"/>
  <c r="M170" i="18"/>
  <c r="M159" i="18"/>
  <c r="M184" i="18"/>
  <c r="M55" i="18"/>
  <c r="M146" i="18"/>
  <c r="M111" i="18"/>
  <c r="M84" i="18"/>
  <c r="M209" i="18"/>
  <c r="M31" i="18"/>
  <c r="M78" i="18"/>
  <c r="M117" i="18"/>
  <c r="M163" i="18"/>
  <c r="M48" i="18"/>
  <c r="M199" i="18"/>
  <c r="M70" i="18"/>
  <c r="M73" i="18"/>
  <c r="M182" i="18"/>
  <c r="M206" i="18"/>
  <c r="M62" i="18"/>
  <c r="M155" i="18"/>
  <c r="M142" i="18"/>
  <c r="M91" i="18"/>
  <c r="M46" i="18"/>
  <c r="M164" i="18"/>
  <c r="M101" i="18"/>
  <c r="M210" i="18"/>
  <c r="M93" i="18"/>
  <c r="M64" i="18"/>
  <c r="M57" i="18"/>
  <c r="M58" i="18"/>
  <c r="M26" i="18"/>
  <c r="M94" i="18"/>
  <c r="M54" i="18"/>
  <c r="M44" i="18"/>
  <c r="M30" i="18"/>
  <c r="M156" i="18"/>
  <c r="M118" i="18"/>
  <c r="M190" i="18"/>
  <c r="M193" i="18"/>
  <c r="M126" i="18"/>
  <c r="M124" i="18"/>
  <c r="M65" i="18"/>
  <c r="M108" i="18"/>
  <c r="M200" i="18"/>
  <c r="M192" i="18"/>
  <c r="M171" i="18"/>
  <c r="M166" i="18"/>
  <c r="M116" i="18"/>
  <c r="M38" i="18"/>
  <c r="M29" i="18"/>
  <c r="M128" i="18"/>
  <c r="M204" i="18"/>
  <c r="M145" i="18"/>
  <c r="M87" i="18"/>
  <c r="M152" i="18"/>
  <c r="M79" i="18"/>
  <c r="M82" i="18"/>
  <c r="M72" i="18"/>
  <c r="M95" i="18"/>
  <c r="M85" i="18"/>
  <c r="M92" i="18"/>
  <c r="M122" i="18"/>
  <c r="M150" i="18"/>
  <c r="M162" i="18"/>
  <c r="M133" i="18"/>
  <c r="M27" i="18"/>
  <c r="M86" i="18"/>
  <c r="M104" i="18"/>
  <c r="M144" i="18"/>
  <c r="M168" i="18"/>
  <c r="M90" i="18"/>
  <c r="M59" i="18"/>
  <c r="M45" i="18"/>
  <c r="M136" i="18"/>
  <c r="M181" i="18"/>
  <c r="M52" i="18"/>
  <c r="M186" i="18"/>
  <c r="M131" i="18"/>
  <c r="M132" i="18"/>
  <c r="M134" i="18"/>
  <c r="M183" i="18"/>
  <c r="M105" i="18"/>
  <c r="M148" i="18"/>
  <c r="M66" i="18"/>
  <c r="M49" i="18"/>
  <c r="M123" i="18"/>
  <c r="M22" i="18"/>
  <c r="M41" i="18"/>
  <c r="M140" i="18"/>
  <c r="M103" i="18"/>
  <c r="M172" i="18"/>
  <c r="M23" i="18"/>
  <c r="M151" i="18"/>
  <c r="M119" i="18"/>
  <c r="M32" i="18"/>
  <c r="M37" i="18"/>
  <c r="M127" i="18"/>
  <c r="M24" i="18"/>
  <c r="M135" i="18"/>
  <c r="M109" i="18"/>
  <c r="M107" i="18"/>
  <c r="M191" i="18"/>
  <c r="M114" i="18"/>
  <c r="M36" i="18"/>
  <c r="M71" i="18"/>
  <c r="M189" i="18"/>
  <c r="M115" i="18"/>
  <c r="M202" i="18"/>
  <c r="M147" i="18"/>
  <c r="M211" i="18"/>
  <c r="M125" i="18"/>
  <c r="M98" i="18"/>
  <c r="M153" i="18"/>
  <c r="M60" i="18"/>
  <c r="M28" i="18"/>
  <c r="M137" i="18"/>
  <c r="M165" i="18"/>
  <c r="M69" i="18"/>
  <c r="M47" i="18"/>
  <c r="M195" i="18"/>
  <c r="M175" i="18"/>
  <c r="M178" i="18"/>
  <c r="M176" i="18"/>
  <c r="M185" i="18"/>
  <c r="M169" i="18"/>
  <c r="M113" i="18"/>
  <c r="M50" i="18"/>
  <c r="M96" i="18"/>
  <c r="M130" i="18"/>
  <c r="M56" i="18"/>
  <c r="M35" i="18"/>
  <c r="M20" i="18"/>
  <c r="M77" i="18"/>
  <c r="M207" i="18"/>
  <c r="M196" i="18"/>
  <c r="M110" i="18"/>
  <c r="M180" i="18"/>
  <c r="M208" i="18"/>
  <c r="M173" i="18"/>
  <c r="M63" i="18"/>
  <c r="M179" i="18"/>
  <c r="M194" i="18"/>
  <c r="M100" i="18"/>
  <c r="M106" i="18"/>
  <c r="M158" i="18"/>
  <c r="M174" i="18"/>
  <c r="M68" i="18"/>
  <c r="M39" i="18"/>
  <c r="M177" i="18"/>
  <c r="M33" i="18"/>
  <c r="M143" i="18"/>
  <c r="M40" i="18"/>
  <c r="M129" i="18"/>
  <c r="M212" i="18" l="1"/>
  <c r="M13" i="18"/>
  <c r="I81" i="18" l="1"/>
  <c r="J81" i="18" s="1"/>
  <c r="L81" i="18" s="1"/>
  <c r="N81" i="18" s="1"/>
  <c r="R81" i="18" s="1"/>
  <c r="I26" i="18"/>
  <c r="J26" i="18" s="1"/>
  <c r="L26" i="18" s="1"/>
  <c r="N26" i="18" s="1"/>
  <c r="R26" i="18" s="1"/>
  <c r="I186" i="18"/>
  <c r="J186" i="18" s="1"/>
  <c r="L186" i="18" s="1"/>
  <c r="N186" i="18" s="1"/>
  <c r="R186" i="18" s="1"/>
  <c r="I103" i="18"/>
  <c r="J103" i="18" s="1"/>
  <c r="L103" i="18" s="1"/>
  <c r="N103" i="18" s="1"/>
  <c r="R103" i="18" s="1"/>
  <c r="I109" i="18"/>
  <c r="J109" i="18" s="1"/>
  <c r="L109" i="18" s="1"/>
  <c r="N109" i="18" s="1"/>
  <c r="R109" i="18" s="1"/>
  <c r="I116" i="18"/>
  <c r="J116" i="18" s="1"/>
  <c r="L116" i="18" s="1"/>
  <c r="N116" i="18" s="1"/>
  <c r="R116" i="18" s="1"/>
  <c r="I130" i="18"/>
  <c r="J130" i="18" s="1"/>
  <c r="L130" i="18" s="1"/>
  <c r="N130" i="18" s="1"/>
  <c r="R130" i="18" s="1"/>
  <c r="I177" i="18"/>
  <c r="J177" i="18" s="1"/>
  <c r="L177" i="18" s="1"/>
  <c r="N177" i="18" s="1"/>
  <c r="R177" i="18" s="1"/>
  <c r="I107" i="18"/>
  <c r="J107" i="18" s="1"/>
  <c r="L107" i="18" s="1"/>
  <c r="N107" i="18" s="1"/>
  <c r="R107" i="18" s="1"/>
  <c r="I46" i="18"/>
  <c r="J46" i="18" s="1"/>
  <c r="L46" i="18" s="1"/>
  <c r="N46" i="18" s="1"/>
  <c r="R46" i="18" s="1"/>
  <c r="I31" i="18"/>
  <c r="J31" i="18" s="1"/>
  <c r="L31" i="18" s="1"/>
  <c r="N31" i="18" s="1"/>
  <c r="R31" i="18" s="1"/>
  <c r="I60" i="18"/>
  <c r="J60" i="18" s="1"/>
  <c r="L60" i="18" s="1"/>
  <c r="N60" i="18" s="1"/>
  <c r="R60" i="18" s="1"/>
  <c r="I29" i="18"/>
  <c r="J29" i="18" s="1"/>
  <c r="L29" i="18" s="1"/>
  <c r="N29" i="18" s="1"/>
  <c r="R29" i="18" s="1"/>
  <c r="I143" i="18"/>
  <c r="J143" i="18" s="1"/>
  <c r="L143" i="18" s="1"/>
  <c r="N143" i="18" s="1"/>
  <c r="R143" i="18" s="1"/>
  <c r="I138" i="18"/>
  <c r="J138" i="18" s="1"/>
  <c r="L138" i="18" s="1"/>
  <c r="N138" i="18" s="1"/>
  <c r="R138" i="18" s="1"/>
  <c r="I174" i="18"/>
  <c r="J174" i="18" s="1"/>
  <c r="L174" i="18" s="1"/>
  <c r="N174" i="18" s="1"/>
  <c r="R174" i="18" s="1"/>
  <c r="I197" i="18"/>
  <c r="J197" i="18" s="1"/>
  <c r="L197" i="18" s="1"/>
  <c r="N197" i="18" s="1"/>
  <c r="R197" i="18" s="1"/>
  <c r="I159" i="18"/>
  <c r="J159" i="18" s="1"/>
  <c r="L159" i="18" s="1"/>
  <c r="N159" i="18" s="1"/>
  <c r="R159" i="18" s="1"/>
  <c r="I145" i="18"/>
  <c r="J145" i="18" s="1"/>
  <c r="L145" i="18" s="1"/>
  <c r="N145" i="18" s="1"/>
  <c r="R145" i="18" s="1"/>
  <c r="I199" i="18"/>
  <c r="J199" i="18" s="1"/>
  <c r="L199" i="18" s="1"/>
  <c r="N199" i="18" s="1"/>
  <c r="R199" i="18" s="1"/>
  <c r="I191" i="18"/>
  <c r="J191" i="18" s="1"/>
  <c r="L191" i="18" s="1"/>
  <c r="N191" i="18" s="1"/>
  <c r="R191" i="18" s="1"/>
  <c r="I105" i="18"/>
  <c r="J105" i="18" s="1"/>
  <c r="L105" i="18" s="1"/>
  <c r="N105" i="18" s="1"/>
  <c r="R105" i="18" s="1"/>
  <c r="I76" i="18"/>
  <c r="J76" i="18" s="1"/>
  <c r="L76" i="18" s="1"/>
  <c r="N76" i="18" s="1"/>
  <c r="R76" i="18" s="1"/>
  <c r="I134" i="18"/>
  <c r="J134" i="18" s="1"/>
  <c r="L134" i="18" s="1"/>
  <c r="N134" i="18" s="1"/>
  <c r="R134" i="18" s="1"/>
  <c r="I61" i="18"/>
  <c r="J61" i="18" s="1"/>
  <c r="L61" i="18" s="1"/>
  <c r="N61" i="18" s="1"/>
  <c r="R61" i="18" s="1"/>
  <c r="I58" i="18"/>
  <c r="J58" i="18" s="1"/>
  <c r="L58" i="18" s="1"/>
  <c r="N58" i="18" s="1"/>
  <c r="R58" i="18" s="1"/>
  <c r="I35" i="18"/>
  <c r="J35" i="18" s="1"/>
  <c r="L35" i="18" s="1"/>
  <c r="N35" i="18" s="1"/>
  <c r="R35" i="18" s="1"/>
  <c r="I94" i="18"/>
  <c r="J94" i="18" s="1"/>
  <c r="L94" i="18" s="1"/>
  <c r="N94" i="18" s="1"/>
  <c r="R94" i="18" s="1"/>
  <c r="I88" i="18"/>
  <c r="J88" i="18" s="1"/>
  <c r="L88" i="18" s="1"/>
  <c r="N88" i="18" s="1"/>
  <c r="R88" i="18" s="1"/>
  <c r="I71" i="18"/>
  <c r="J71" i="18" s="1"/>
  <c r="L71" i="18" s="1"/>
  <c r="N71" i="18" s="1"/>
  <c r="R71" i="18" s="1"/>
  <c r="I23" i="18"/>
  <c r="J23" i="18" s="1"/>
  <c r="L23" i="18" s="1"/>
  <c r="N23" i="18" s="1"/>
  <c r="R23" i="18" s="1"/>
  <c r="I183" i="18"/>
  <c r="J183" i="18" s="1"/>
  <c r="L183" i="18" s="1"/>
  <c r="N183" i="18" s="1"/>
  <c r="R183" i="18" s="1"/>
  <c r="I65" i="18"/>
  <c r="J65" i="18" s="1"/>
  <c r="L65" i="18" s="1"/>
  <c r="N65" i="18" s="1"/>
  <c r="R65" i="18" s="1"/>
  <c r="I59" i="18"/>
  <c r="J59" i="18" s="1"/>
  <c r="L59" i="18" s="1"/>
  <c r="N59" i="18" s="1"/>
  <c r="R59" i="18" s="1"/>
  <c r="I176" i="18"/>
  <c r="J176" i="18" s="1"/>
  <c r="L176" i="18" s="1"/>
  <c r="N176" i="18" s="1"/>
  <c r="R176" i="18" s="1"/>
  <c r="I193" i="18"/>
  <c r="J193" i="18" s="1"/>
  <c r="L193" i="18" s="1"/>
  <c r="N193" i="18" s="1"/>
  <c r="R193" i="18" s="1"/>
  <c r="I133" i="18"/>
  <c r="J133" i="18" s="1"/>
  <c r="L133" i="18" s="1"/>
  <c r="N133" i="18" s="1"/>
  <c r="R133" i="18" s="1"/>
  <c r="I57" i="18"/>
  <c r="J57" i="18" s="1"/>
  <c r="L57" i="18" s="1"/>
  <c r="N57" i="18" s="1"/>
  <c r="R57" i="18" s="1"/>
  <c r="I132" i="18"/>
  <c r="J132" i="18" s="1"/>
  <c r="L132" i="18" s="1"/>
  <c r="N132" i="18" s="1"/>
  <c r="R132" i="18" s="1"/>
  <c r="I45" i="18"/>
  <c r="J45" i="18" s="1"/>
  <c r="L45" i="18" s="1"/>
  <c r="N45" i="18" s="1"/>
  <c r="R45" i="18" s="1"/>
  <c r="I182" i="18"/>
  <c r="J182" i="18" s="1"/>
  <c r="L182" i="18" s="1"/>
  <c r="N182" i="18" s="1"/>
  <c r="R182" i="18" s="1"/>
  <c r="I208" i="18"/>
  <c r="J208" i="18" s="1"/>
  <c r="L208" i="18" s="1"/>
  <c r="N208" i="18" s="1"/>
  <c r="R208" i="18" s="1"/>
  <c r="I137" i="18"/>
  <c r="J137" i="18" s="1"/>
  <c r="L137" i="18" s="1"/>
  <c r="N137" i="18" s="1"/>
  <c r="R137" i="18" s="1"/>
  <c r="I125" i="18"/>
  <c r="J125" i="18" s="1"/>
  <c r="L125" i="18" s="1"/>
  <c r="N125" i="18" s="1"/>
  <c r="R125" i="18" s="1"/>
  <c r="I36" i="18"/>
  <c r="J36" i="18" s="1"/>
  <c r="L36" i="18" s="1"/>
  <c r="N36" i="18" s="1"/>
  <c r="R36" i="18" s="1"/>
  <c r="I72" i="18"/>
  <c r="J72" i="18" s="1"/>
  <c r="L72" i="18" s="1"/>
  <c r="N72" i="18" s="1"/>
  <c r="R72" i="18" s="1"/>
  <c r="I82" i="18"/>
  <c r="J82" i="18" s="1"/>
  <c r="L82" i="18" s="1"/>
  <c r="N82" i="18" s="1"/>
  <c r="R82" i="18" s="1"/>
  <c r="I101" i="18"/>
  <c r="J101" i="18" s="1"/>
  <c r="L101" i="18" s="1"/>
  <c r="N101" i="18" s="1"/>
  <c r="R101" i="18" s="1"/>
  <c r="I28" i="18"/>
  <c r="J28" i="18" s="1"/>
  <c r="L28" i="18" s="1"/>
  <c r="N28" i="18" s="1"/>
  <c r="R28" i="18" s="1"/>
  <c r="I74" i="18"/>
  <c r="J74" i="18" s="1"/>
  <c r="L74" i="18" s="1"/>
  <c r="N74" i="18" s="1"/>
  <c r="R74" i="18" s="1"/>
  <c r="I67" i="18"/>
  <c r="J67" i="18" s="1"/>
  <c r="L67" i="18" s="1"/>
  <c r="N67" i="18" s="1"/>
  <c r="R67" i="18" s="1"/>
  <c r="I49" i="18"/>
  <c r="J49" i="18" s="1"/>
  <c r="L49" i="18" s="1"/>
  <c r="N49" i="18" s="1"/>
  <c r="R49" i="18" s="1"/>
  <c r="I141" i="18"/>
  <c r="J141" i="18" s="1"/>
  <c r="L141" i="18" s="1"/>
  <c r="N141" i="18" s="1"/>
  <c r="R141" i="18" s="1"/>
  <c r="I147" i="18"/>
  <c r="J147" i="18" s="1"/>
  <c r="L147" i="18" s="1"/>
  <c r="N147" i="18" s="1"/>
  <c r="R147" i="18" s="1"/>
  <c r="I41" i="18"/>
  <c r="J41" i="18" s="1"/>
  <c r="L41" i="18" s="1"/>
  <c r="N41" i="18" s="1"/>
  <c r="R41" i="18" s="1"/>
  <c r="I185" i="18"/>
  <c r="J185" i="18" s="1"/>
  <c r="L185" i="18" s="1"/>
  <c r="N185" i="18" s="1"/>
  <c r="R185" i="18" s="1"/>
  <c r="I122" i="18"/>
  <c r="J122" i="18" s="1"/>
  <c r="L122" i="18" s="1"/>
  <c r="N122" i="18" s="1"/>
  <c r="R122" i="18" s="1"/>
  <c r="I32" i="18"/>
  <c r="J32" i="18" s="1"/>
  <c r="L32" i="18" s="1"/>
  <c r="N32" i="18" s="1"/>
  <c r="R32" i="18" s="1"/>
  <c r="I96" i="18"/>
  <c r="J96" i="18" s="1"/>
  <c r="L96" i="18" s="1"/>
  <c r="N96" i="18" s="1"/>
  <c r="R96" i="18" s="1"/>
  <c r="I106" i="18"/>
  <c r="J106" i="18" s="1"/>
  <c r="L106" i="18" s="1"/>
  <c r="N106" i="18" s="1"/>
  <c r="R106" i="18" s="1"/>
  <c r="I25" i="18"/>
  <c r="J25" i="18" s="1"/>
  <c r="L25" i="18" s="1"/>
  <c r="N25" i="18" s="1"/>
  <c r="R25" i="18" s="1"/>
  <c r="I93" i="18"/>
  <c r="J93" i="18" s="1"/>
  <c r="L93" i="18" s="1"/>
  <c r="N93" i="18" s="1"/>
  <c r="R93" i="18" s="1"/>
  <c r="I142" i="18"/>
  <c r="J142" i="18" s="1"/>
  <c r="L142" i="18" s="1"/>
  <c r="N142" i="18" s="1"/>
  <c r="R142" i="18" s="1"/>
  <c r="I180" i="18"/>
  <c r="J180" i="18" s="1"/>
  <c r="L180" i="18" s="1"/>
  <c r="N180" i="18" s="1"/>
  <c r="R180" i="18" s="1"/>
  <c r="I40" i="18"/>
  <c r="J40" i="18" s="1"/>
  <c r="L40" i="18" s="1"/>
  <c r="N40" i="18" s="1"/>
  <c r="R40" i="18" s="1"/>
  <c r="I55" i="18"/>
  <c r="J55" i="18" s="1"/>
  <c r="L55" i="18" s="1"/>
  <c r="N55" i="18" s="1"/>
  <c r="R55" i="18" s="1"/>
  <c r="I188" i="18"/>
  <c r="J188" i="18" s="1"/>
  <c r="L188" i="18" s="1"/>
  <c r="N188" i="18" s="1"/>
  <c r="R188" i="18" s="1"/>
  <c r="I39" i="18"/>
  <c r="J39" i="18" s="1"/>
  <c r="L39" i="18" s="1"/>
  <c r="N39" i="18" s="1"/>
  <c r="R39" i="18" s="1"/>
  <c r="I91" i="18"/>
  <c r="J91" i="18" s="1"/>
  <c r="L91" i="18" s="1"/>
  <c r="N91" i="18" s="1"/>
  <c r="R91" i="18" s="1"/>
  <c r="I162" i="18"/>
  <c r="J162" i="18" s="1"/>
  <c r="L162" i="18" s="1"/>
  <c r="N162" i="18" s="1"/>
  <c r="R162" i="18" s="1"/>
  <c r="I77" i="18"/>
  <c r="J77" i="18" s="1"/>
  <c r="L77" i="18" s="1"/>
  <c r="N77" i="18" s="1"/>
  <c r="R77" i="18" s="1"/>
  <c r="I129" i="18"/>
  <c r="J129" i="18" s="1"/>
  <c r="L129" i="18" s="1"/>
  <c r="N129" i="18" s="1"/>
  <c r="R129" i="18" s="1"/>
  <c r="I195" i="18"/>
  <c r="J195" i="18" s="1"/>
  <c r="L195" i="18" s="1"/>
  <c r="N195" i="18" s="1"/>
  <c r="R195" i="18" s="1"/>
  <c r="I21" i="18"/>
  <c r="J21" i="18" s="1"/>
  <c r="L21" i="18" s="1"/>
  <c r="N21" i="18" s="1"/>
  <c r="R21" i="18" s="1"/>
  <c r="I127" i="18"/>
  <c r="J127" i="18" s="1"/>
  <c r="L127" i="18" s="1"/>
  <c r="N127" i="18" s="1"/>
  <c r="R127" i="18" s="1"/>
  <c r="I151" i="18"/>
  <c r="J151" i="18" s="1"/>
  <c r="L151" i="18" s="1"/>
  <c r="N151" i="18" s="1"/>
  <c r="R151" i="18" s="1"/>
  <c r="I70" i="18"/>
  <c r="J70" i="18" s="1"/>
  <c r="L70" i="18" s="1"/>
  <c r="N70" i="18" s="1"/>
  <c r="R70" i="18" s="1"/>
  <c r="I20" i="18"/>
  <c r="J20" i="18" s="1"/>
  <c r="I207" i="18"/>
  <c r="J207" i="18" s="1"/>
  <c r="L207" i="18" s="1"/>
  <c r="N207" i="18" s="1"/>
  <c r="R207" i="18" s="1"/>
  <c r="I175" i="18"/>
  <c r="J175" i="18" s="1"/>
  <c r="L175" i="18" s="1"/>
  <c r="N175" i="18" s="1"/>
  <c r="R175" i="18" s="1"/>
  <c r="I75" i="18"/>
  <c r="J75" i="18" s="1"/>
  <c r="L75" i="18" s="1"/>
  <c r="N75" i="18" s="1"/>
  <c r="R75" i="18" s="1"/>
  <c r="I166" i="18"/>
  <c r="J166" i="18" s="1"/>
  <c r="L166" i="18" s="1"/>
  <c r="N166" i="18" s="1"/>
  <c r="R166" i="18" s="1"/>
  <c r="I209" i="18"/>
  <c r="J209" i="18" s="1"/>
  <c r="L209" i="18" s="1"/>
  <c r="N209" i="18" s="1"/>
  <c r="R209" i="18" s="1"/>
  <c r="I42" i="18"/>
  <c r="J42" i="18" s="1"/>
  <c r="L42" i="18" s="1"/>
  <c r="N42" i="18" s="1"/>
  <c r="R42" i="18" s="1"/>
  <c r="I131" i="18"/>
  <c r="J131" i="18" s="1"/>
  <c r="L131" i="18" s="1"/>
  <c r="N131" i="18" s="1"/>
  <c r="R131" i="18" s="1"/>
  <c r="I117" i="18"/>
  <c r="J117" i="18" s="1"/>
  <c r="L117" i="18" s="1"/>
  <c r="N117" i="18" s="1"/>
  <c r="R117" i="18" s="1"/>
  <c r="I51" i="18"/>
  <c r="J51" i="18" s="1"/>
  <c r="L51" i="18" s="1"/>
  <c r="N51" i="18" s="1"/>
  <c r="R51" i="18" s="1"/>
  <c r="I161" i="18"/>
  <c r="J161" i="18" s="1"/>
  <c r="L161" i="18" s="1"/>
  <c r="N161" i="18" s="1"/>
  <c r="R161" i="18" s="1"/>
  <c r="I44" i="18"/>
  <c r="J44" i="18" s="1"/>
  <c r="L44" i="18" s="1"/>
  <c r="N44" i="18" s="1"/>
  <c r="R44" i="18" s="1"/>
  <c r="I111" i="18"/>
  <c r="J111" i="18" s="1"/>
  <c r="L111" i="18" s="1"/>
  <c r="N111" i="18" s="1"/>
  <c r="R111" i="18" s="1"/>
  <c r="I56" i="18"/>
  <c r="J56" i="18" s="1"/>
  <c r="I115" i="18"/>
  <c r="J115" i="18" s="1"/>
  <c r="L115" i="18" s="1"/>
  <c r="N115" i="18" s="1"/>
  <c r="R115" i="18" s="1"/>
  <c r="I160" i="18"/>
  <c r="J160" i="18" s="1"/>
  <c r="L160" i="18" s="1"/>
  <c r="N160" i="18" s="1"/>
  <c r="R160" i="18" s="1"/>
  <c r="I100" i="18"/>
  <c r="J100" i="18" s="1"/>
  <c r="L100" i="18" s="1"/>
  <c r="N100" i="18" s="1"/>
  <c r="R100" i="18" s="1"/>
  <c r="I139" i="18"/>
  <c r="J139" i="18" s="1"/>
  <c r="L139" i="18" s="1"/>
  <c r="N139" i="18" s="1"/>
  <c r="R139" i="18" s="1"/>
  <c r="I140" i="18"/>
  <c r="J140" i="18" s="1"/>
  <c r="L140" i="18" s="1"/>
  <c r="N140" i="18" s="1"/>
  <c r="R140" i="18" s="1"/>
  <c r="I48" i="18"/>
  <c r="J48" i="18" s="1"/>
  <c r="L48" i="18" s="1"/>
  <c r="N48" i="18" s="1"/>
  <c r="R48" i="18" s="1"/>
  <c r="I146" i="18"/>
  <c r="J146" i="18" s="1"/>
  <c r="L146" i="18" s="1"/>
  <c r="N146" i="18" s="1"/>
  <c r="R146" i="18" s="1"/>
  <c r="I164" i="18"/>
  <c r="J164" i="18" s="1"/>
  <c r="L164" i="18" s="1"/>
  <c r="N164" i="18" s="1"/>
  <c r="R164" i="18" s="1"/>
  <c r="I210" i="18"/>
  <c r="J210" i="18" s="1"/>
  <c r="L210" i="18" s="1"/>
  <c r="N210" i="18" s="1"/>
  <c r="R210" i="18" s="1"/>
  <c r="I150" i="18"/>
  <c r="J150" i="18" s="1"/>
  <c r="L150" i="18" s="1"/>
  <c r="N150" i="18" s="1"/>
  <c r="R150" i="18" s="1"/>
  <c r="I53" i="18"/>
  <c r="J53" i="18" s="1"/>
  <c r="L53" i="18" s="1"/>
  <c r="N53" i="18" s="1"/>
  <c r="R53" i="18" s="1"/>
  <c r="I203" i="18"/>
  <c r="J203" i="18" s="1"/>
  <c r="L203" i="18" s="1"/>
  <c r="N203" i="18" s="1"/>
  <c r="R203" i="18" s="1"/>
  <c r="I89" i="18"/>
  <c r="J89" i="18" s="1"/>
  <c r="L89" i="18" s="1"/>
  <c r="N89" i="18" s="1"/>
  <c r="R89" i="18" s="1"/>
  <c r="I189" i="18"/>
  <c r="J189" i="18" s="1"/>
  <c r="L189" i="18" s="1"/>
  <c r="N189" i="18" s="1"/>
  <c r="R189" i="18" s="1"/>
  <c r="I121" i="18"/>
  <c r="J121" i="18" s="1"/>
  <c r="L121" i="18" s="1"/>
  <c r="N121" i="18" s="1"/>
  <c r="R121" i="18" s="1"/>
  <c r="I62" i="18"/>
  <c r="J62" i="18" s="1"/>
  <c r="L62" i="18" s="1"/>
  <c r="N62" i="18" s="1"/>
  <c r="R62" i="18" s="1"/>
  <c r="I169" i="18"/>
  <c r="J169" i="18" s="1"/>
  <c r="L169" i="18" s="1"/>
  <c r="N169" i="18" s="1"/>
  <c r="R169" i="18" s="1"/>
  <c r="I190" i="18"/>
  <c r="J190" i="18" s="1"/>
  <c r="L190" i="18" s="1"/>
  <c r="N190" i="18" s="1"/>
  <c r="R190" i="18" s="1"/>
  <c r="I152" i="18"/>
  <c r="J152" i="18" s="1"/>
  <c r="L152" i="18" s="1"/>
  <c r="N152" i="18" s="1"/>
  <c r="R152" i="18" s="1"/>
  <c r="I157" i="18"/>
  <c r="J157" i="18" s="1"/>
  <c r="L157" i="18" s="1"/>
  <c r="N157" i="18" s="1"/>
  <c r="R157" i="18" s="1"/>
  <c r="I24" i="18"/>
  <c r="J24" i="18" s="1"/>
  <c r="L24" i="18" s="1"/>
  <c r="N24" i="18" s="1"/>
  <c r="R24" i="18" s="1"/>
  <c r="F14" i="29"/>
  <c r="I144" i="18"/>
  <c r="J144" i="18" s="1"/>
  <c r="L144" i="18" s="1"/>
  <c r="N144" i="18" s="1"/>
  <c r="R144" i="18" s="1"/>
  <c r="I136" i="18"/>
  <c r="J136" i="18" s="1"/>
  <c r="L136" i="18" s="1"/>
  <c r="N136" i="18" s="1"/>
  <c r="R136" i="18" s="1"/>
  <c r="I30" i="18"/>
  <c r="J30" i="18" s="1"/>
  <c r="L30" i="18" s="1"/>
  <c r="N30" i="18" s="1"/>
  <c r="R30" i="18" s="1"/>
  <c r="I80" i="18"/>
  <c r="J80" i="18" s="1"/>
  <c r="L80" i="18" s="1"/>
  <c r="N80" i="18" s="1"/>
  <c r="R80" i="18" s="1"/>
  <c r="I38" i="18"/>
  <c r="J38" i="18" s="1"/>
  <c r="L38" i="18" s="1"/>
  <c r="N38" i="18" s="1"/>
  <c r="R38" i="18" s="1"/>
  <c r="I43" i="18"/>
  <c r="J43" i="18" s="1"/>
  <c r="L43" i="18" s="1"/>
  <c r="N43" i="18" s="1"/>
  <c r="R43" i="18" s="1"/>
  <c r="I156" i="18"/>
  <c r="J156" i="18" s="1"/>
  <c r="L156" i="18" s="1"/>
  <c r="N156" i="18" s="1"/>
  <c r="R156" i="18" s="1"/>
  <c r="I52" i="18"/>
  <c r="J52" i="18" s="1"/>
  <c r="L52" i="18" s="1"/>
  <c r="N52" i="18" s="1"/>
  <c r="R52" i="18" s="1"/>
  <c r="I170" i="18"/>
  <c r="J170" i="18" s="1"/>
  <c r="L170" i="18" s="1"/>
  <c r="N170" i="18" s="1"/>
  <c r="R170" i="18" s="1"/>
  <c r="I206" i="18"/>
  <c r="J206" i="18" s="1"/>
  <c r="L206" i="18" s="1"/>
  <c r="N206" i="18" s="1"/>
  <c r="R206" i="18" s="1"/>
  <c r="I120" i="18"/>
  <c r="J120" i="18" s="1"/>
  <c r="L120" i="18" s="1"/>
  <c r="N120" i="18" s="1"/>
  <c r="R120" i="18" s="1"/>
  <c r="I63" i="18"/>
  <c r="J63" i="18" s="1"/>
  <c r="L63" i="18" s="1"/>
  <c r="N63" i="18" s="1"/>
  <c r="R63" i="18" s="1"/>
  <c r="I181" i="18"/>
  <c r="J181" i="18" s="1"/>
  <c r="L181" i="18" s="1"/>
  <c r="N181" i="18" s="1"/>
  <c r="R181" i="18" s="1"/>
  <c r="I108" i="18"/>
  <c r="J108" i="18" s="1"/>
  <c r="L108" i="18" s="1"/>
  <c r="N108" i="18" s="1"/>
  <c r="R108" i="18" s="1"/>
  <c r="I22" i="18"/>
  <c r="J22" i="18" s="1"/>
  <c r="L22" i="18" s="1"/>
  <c r="N22" i="18" s="1"/>
  <c r="R22" i="18" s="1"/>
  <c r="I158" i="18"/>
  <c r="J158" i="18" s="1"/>
  <c r="L158" i="18" s="1"/>
  <c r="N158" i="18" s="1"/>
  <c r="R158" i="18" s="1"/>
  <c r="I149" i="18"/>
  <c r="J149" i="18" s="1"/>
  <c r="L149" i="18" s="1"/>
  <c r="N149" i="18" s="1"/>
  <c r="R149" i="18" s="1"/>
  <c r="I37" i="18"/>
  <c r="J37" i="18" s="1"/>
  <c r="L37" i="18" s="1"/>
  <c r="N37" i="18" s="1"/>
  <c r="R37" i="18" s="1"/>
  <c r="I34" i="18"/>
  <c r="J34" i="18" s="1"/>
  <c r="L34" i="18" s="1"/>
  <c r="N34" i="18" s="1"/>
  <c r="R34" i="18" s="1"/>
  <c r="I33" i="18"/>
  <c r="J33" i="18" s="1"/>
  <c r="L33" i="18" s="1"/>
  <c r="N33" i="18" s="1"/>
  <c r="R33" i="18" s="1"/>
  <c r="I128" i="18"/>
  <c r="J128" i="18" s="1"/>
  <c r="L128" i="18" s="1"/>
  <c r="N128" i="18" s="1"/>
  <c r="R128" i="18" s="1"/>
  <c r="I47" i="18"/>
  <c r="J47" i="18" s="1"/>
  <c r="L47" i="18" s="1"/>
  <c r="N47" i="18" s="1"/>
  <c r="R47" i="18" s="1"/>
  <c r="I84" i="18"/>
  <c r="J84" i="18" s="1"/>
  <c r="L84" i="18" s="1"/>
  <c r="N84" i="18" s="1"/>
  <c r="R84" i="18" s="1"/>
  <c r="I123" i="18"/>
  <c r="J123" i="18" s="1"/>
  <c r="L123" i="18" s="1"/>
  <c r="N123" i="18" s="1"/>
  <c r="R123" i="18" s="1"/>
  <c r="I27" i="18"/>
  <c r="J27" i="18" s="1"/>
  <c r="L27" i="18" s="1"/>
  <c r="N27" i="18" s="1"/>
  <c r="R27" i="18" s="1"/>
  <c r="I211" i="18"/>
  <c r="J211" i="18" s="1"/>
  <c r="L211" i="18" s="1"/>
  <c r="N211" i="18" s="1"/>
  <c r="R211" i="18" s="1"/>
  <c r="I118" i="18"/>
  <c r="J118" i="18" s="1"/>
  <c r="L118" i="18" s="1"/>
  <c r="N118" i="18" s="1"/>
  <c r="R118" i="18" s="1"/>
  <c r="I79" i="18"/>
  <c r="J79" i="18" s="1"/>
  <c r="L79" i="18" s="1"/>
  <c r="N79" i="18" s="1"/>
  <c r="R79" i="18" s="1"/>
  <c r="I167" i="18"/>
  <c r="J167" i="18" s="1"/>
  <c r="L167" i="18" s="1"/>
  <c r="N167" i="18" s="1"/>
  <c r="R167" i="18" s="1"/>
  <c r="I69" i="18"/>
  <c r="J69" i="18" s="1"/>
  <c r="L69" i="18" s="1"/>
  <c r="N69" i="18" s="1"/>
  <c r="R69" i="18" s="1"/>
  <c r="I171" i="18"/>
  <c r="J171" i="18" s="1"/>
  <c r="L171" i="18" s="1"/>
  <c r="N171" i="18" s="1"/>
  <c r="R171" i="18" s="1"/>
  <c r="I104" i="18"/>
  <c r="J104" i="18" s="1"/>
  <c r="L104" i="18" s="1"/>
  <c r="N104" i="18" s="1"/>
  <c r="R104" i="18" s="1"/>
  <c r="I196" i="18"/>
  <c r="J196" i="18" s="1"/>
  <c r="L196" i="18" s="1"/>
  <c r="N196" i="18" s="1"/>
  <c r="R196" i="18" s="1"/>
  <c r="I173" i="18"/>
  <c r="J173" i="18" s="1"/>
  <c r="L173" i="18" s="1"/>
  <c r="N173" i="18" s="1"/>
  <c r="R173" i="18" s="1"/>
  <c r="I83" i="18"/>
  <c r="J83" i="18" s="1"/>
  <c r="L83" i="18" s="1"/>
  <c r="N83" i="18" s="1"/>
  <c r="R83" i="18" s="1"/>
  <c r="I85" i="18"/>
  <c r="J85" i="18" s="1"/>
  <c r="L85" i="18" s="1"/>
  <c r="N85" i="18" s="1"/>
  <c r="R85" i="18" s="1"/>
  <c r="I154" i="18"/>
  <c r="J154" i="18" s="1"/>
  <c r="L154" i="18" s="1"/>
  <c r="N154" i="18" s="1"/>
  <c r="R154" i="18" s="1"/>
  <c r="I90" i="18"/>
  <c r="J90" i="18" s="1"/>
  <c r="L90" i="18" s="1"/>
  <c r="N90" i="18" s="1"/>
  <c r="R90" i="18" s="1"/>
  <c r="I165" i="18"/>
  <c r="J165" i="18" s="1"/>
  <c r="L165" i="18" s="1"/>
  <c r="N165" i="18" s="1"/>
  <c r="R165" i="18" s="1"/>
  <c r="I98" i="18"/>
  <c r="J98" i="18" s="1"/>
  <c r="L98" i="18" s="1"/>
  <c r="N98" i="18" s="1"/>
  <c r="R98" i="18" s="1"/>
  <c r="I78" i="18"/>
  <c r="J78" i="18" s="1"/>
  <c r="L78" i="18" s="1"/>
  <c r="N78" i="18" s="1"/>
  <c r="R78" i="18" s="1"/>
  <c r="I153" i="18"/>
  <c r="J153" i="18" s="1"/>
  <c r="L153" i="18" s="1"/>
  <c r="N153" i="18" s="1"/>
  <c r="R153" i="18" s="1"/>
  <c r="I95" i="18"/>
  <c r="J95" i="18" s="1"/>
  <c r="L95" i="18" s="1"/>
  <c r="N95" i="18" s="1"/>
  <c r="R95" i="18" s="1"/>
  <c r="I155" i="18"/>
  <c r="J155" i="18" s="1"/>
  <c r="L155" i="18" s="1"/>
  <c r="N155" i="18" s="1"/>
  <c r="R155" i="18" s="1"/>
  <c r="I172" i="18"/>
  <c r="J172" i="18" s="1"/>
  <c r="L172" i="18" s="1"/>
  <c r="N172" i="18" s="1"/>
  <c r="R172" i="18" s="1"/>
  <c r="I198" i="18"/>
  <c r="J198" i="18" s="1"/>
  <c r="L198" i="18" s="1"/>
  <c r="N198" i="18" s="1"/>
  <c r="R198" i="18" s="1"/>
  <c r="I192" i="18"/>
  <c r="J192" i="18" s="1"/>
  <c r="L192" i="18" s="1"/>
  <c r="N192" i="18" s="1"/>
  <c r="R192" i="18" s="1"/>
  <c r="I124" i="18"/>
  <c r="J124" i="18" s="1"/>
  <c r="L124" i="18" s="1"/>
  <c r="N124" i="18" s="1"/>
  <c r="R124" i="18" s="1"/>
  <c r="I66" i="18"/>
  <c r="J66" i="18" s="1"/>
  <c r="L66" i="18" s="1"/>
  <c r="N66" i="18" s="1"/>
  <c r="R66" i="18" s="1"/>
  <c r="I50" i="18"/>
  <c r="J50" i="18" s="1"/>
  <c r="L50" i="18" s="1"/>
  <c r="N50" i="18" s="1"/>
  <c r="R50" i="18" s="1"/>
  <c r="I148" i="18"/>
  <c r="J148" i="18" s="1"/>
  <c r="L148" i="18" s="1"/>
  <c r="N148" i="18" s="1"/>
  <c r="R148" i="18" s="1"/>
  <c r="I135" i="18"/>
  <c r="J135" i="18" s="1"/>
  <c r="L135" i="18" s="1"/>
  <c r="N135" i="18" s="1"/>
  <c r="R135" i="18" s="1"/>
  <c r="I113" i="18"/>
  <c r="J113" i="18" s="1"/>
  <c r="L113" i="18" s="1"/>
  <c r="N113" i="18" s="1"/>
  <c r="R113" i="18" s="1"/>
  <c r="I187" i="18"/>
  <c r="J187" i="18" s="1"/>
  <c r="L187" i="18" s="1"/>
  <c r="N187" i="18" s="1"/>
  <c r="R187" i="18" s="1"/>
  <c r="I73" i="18"/>
  <c r="J73" i="18" s="1"/>
  <c r="L73" i="18" s="1"/>
  <c r="N73" i="18" s="1"/>
  <c r="R73" i="18" s="1"/>
  <c r="I184" i="18"/>
  <c r="J184" i="18" s="1"/>
  <c r="L184" i="18" s="1"/>
  <c r="N184" i="18" s="1"/>
  <c r="R184" i="18" s="1"/>
  <c r="I102" i="18"/>
  <c r="J102" i="18" s="1"/>
  <c r="L102" i="18" s="1"/>
  <c r="N102" i="18" s="1"/>
  <c r="R102" i="18" s="1"/>
  <c r="I112" i="18"/>
  <c r="J112" i="18" s="1"/>
  <c r="L112" i="18" s="1"/>
  <c r="N112" i="18" s="1"/>
  <c r="R112" i="18" s="1"/>
  <c r="I201" i="18"/>
  <c r="J201" i="18" s="1"/>
  <c r="L201" i="18" s="1"/>
  <c r="N201" i="18" s="1"/>
  <c r="R201" i="18" s="1"/>
  <c r="I202" i="18"/>
  <c r="J202" i="18" s="1"/>
  <c r="L202" i="18" s="1"/>
  <c r="N202" i="18" s="1"/>
  <c r="R202" i="18" s="1"/>
  <c r="I114" i="18"/>
  <c r="J114" i="18" s="1"/>
  <c r="L114" i="18" s="1"/>
  <c r="N114" i="18" s="1"/>
  <c r="R114" i="18" s="1"/>
  <c r="I204" i="18"/>
  <c r="J204" i="18" s="1"/>
  <c r="L204" i="18" s="1"/>
  <c r="N204" i="18" s="1"/>
  <c r="R204" i="18" s="1"/>
  <c r="I178" i="18"/>
  <c r="J178" i="18" s="1"/>
  <c r="L178" i="18" s="1"/>
  <c r="N178" i="18" s="1"/>
  <c r="R178" i="18" s="1"/>
  <c r="I99" i="18"/>
  <c r="J99" i="18" s="1"/>
  <c r="L99" i="18" s="1"/>
  <c r="N99" i="18" s="1"/>
  <c r="R99" i="18" s="1"/>
  <c r="I54" i="18"/>
  <c r="J54" i="18" s="1"/>
  <c r="L54" i="18" s="1"/>
  <c r="N54" i="18" s="1"/>
  <c r="R54" i="18" s="1"/>
  <c r="I87" i="18"/>
  <c r="J87" i="18" s="1"/>
  <c r="L87" i="18" s="1"/>
  <c r="N87" i="18" s="1"/>
  <c r="R87" i="18" s="1"/>
  <c r="I163" i="18"/>
  <c r="J163" i="18" s="1"/>
  <c r="L163" i="18" s="1"/>
  <c r="N163" i="18" s="1"/>
  <c r="R163" i="18" s="1"/>
  <c r="I97" i="18"/>
  <c r="J97" i="18" s="1"/>
  <c r="L97" i="18" s="1"/>
  <c r="N97" i="18" s="1"/>
  <c r="R97" i="18" s="1"/>
  <c r="I205" i="18"/>
  <c r="J205" i="18" s="1"/>
  <c r="L205" i="18" s="1"/>
  <c r="N205" i="18" s="1"/>
  <c r="R205" i="18" s="1"/>
  <c r="I92" i="18"/>
  <c r="J92" i="18" s="1"/>
  <c r="L92" i="18" s="1"/>
  <c r="N92" i="18" s="1"/>
  <c r="R92" i="18" s="1"/>
  <c r="I86" i="18"/>
  <c r="J86" i="18" s="1"/>
  <c r="L86" i="18" s="1"/>
  <c r="N86" i="18" s="1"/>
  <c r="R86" i="18" s="1"/>
  <c r="I194" i="18"/>
  <c r="J194" i="18" s="1"/>
  <c r="L194" i="18" s="1"/>
  <c r="N194" i="18" s="1"/>
  <c r="R194" i="18" s="1"/>
  <c r="I200" i="18"/>
  <c r="J200" i="18" s="1"/>
  <c r="L200" i="18" s="1"/>
  <c r="N200" i="18" s="1"/>
  <c r="R200" i="18" s="1"/>
  <c r="I110" i="18"/>
  <c r="J110" i="18" s="1"/>
  <c r="L110" i="18" s="1"/>
  <c r="N110" i="18" s="1"/>
  <c r="R110" i="18" s="1"/>
  <c r="I126" i="18"/>
  <c r="J126" i="18" s="1"/>
  <c r="L126" i="18" s="1"/>
  <c r="N126" i="18" s="1"/>
  <c r="R126" i="18" s="1"/>
  <c r="I64" i="18"/>
  <c r="J64" i="18" s="1"/>
  <c r="L64" i="18" s="1"/>
  <c r="N64" i="18" s="1"/>
  <c r="R64" i="18" s="1"/>
  <c r="I168" i="18"/>
  <c r="J168" i="18" s="1"/>
  <c r="L168" i="18" s="1"/>
  <c r="N168" i="18" s="1"/>
  <c r="R168" i="18" s="1"/>
  <c r="I68" i="18"/>
  <c r="J68" i="18" s="1"/>
  <c r="L68" i="18" s="1"/>
  <c r="N68" i="18" s="1"/>
  <c r="R68" i="18" s="1"/>
  <c r="I179" i="18"/>
  <c r="J179" i="18" s="1"/>
  <c r="L179" i="18" s="1"/>
  <c r="N179" i="18" s="1"/>
  <c r="R179" i="18" s="1"/>
  <c r="I119" i="18"/>
  <c r="J119" i="18" s="1"/>
  <c r="L119" i="18" s="1"/>
  <c r="N119" i="18" s="1"/>
  <c r="R119" i="18" s="1"/>
  <c r="L56" i="18" l="1"/>
  <c r="J13" i="18"/>
  <c r="J14" i="18"/>
  <c r="L20" i="18"/>
  <c r="J212" i="18"/>
  <c r="N20" i="18" l="1"/>
  <c r="L212" i="18"/>
  <c r="L14" i="18"/>
  <c r="N56" i="18"/>
  <c r="L13" i="18"/>
  <c r="R56" i="18" l="1"/>
  <c r="R13" i="18" s="1"/>
  <c r="N13" i="18"/>
  <c r="R20" i="18"/>
  <c r="N14" i="18"/>
  <c r="R212" i="18" l="1"/>
  <c r="R14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<sst xmlns="http://schemas.openxmlformats.org/spreadsheetml/2006/main" count="422" uniqueCount="104">
  <si>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</si>
  <si>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</si>
  <si>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</si>
  <si>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</si>
  <si>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</si>
  <si>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</si>
  <si>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</si>
  <si>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</si>
  <si>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</si>
  <si>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</si>
  <si>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</si>
  <si>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</si>
  <si>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</si>
  <si>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</si>
  <si>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</si>
  <si>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</si>
  <si>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</si>
  <si>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</si>
  <si>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</si>
  <si>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</si>
  <si>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</si>
  <si>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</si>
  <si>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</si>
  <si>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</si>
  <si>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</si>
  <si>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</si>
  <si>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</si>
  <si>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</si>
  <si>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</si>
  <si>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</si>
  <si>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</si>
  <si>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</si>
  <si>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</si>
  <si>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</si>
  <si>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</si>
  <si>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</si>
  <si>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</si>
  <si>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</si>
  <si>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</si>
  <si>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</si>
  <si>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</si>
  <si>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</si>
  <si>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</si>
  <si>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</si>
  <si>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</si>
  <si>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</si>
  <si>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</si>
  <si>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</si>
  <si>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</si>
  <si>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</si>
  <si>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</si>
  <si>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</si>
  <si>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</si>
  <si>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</si>
  <si>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</si>
  <si>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</si>
  <si>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</si>
  <si>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</si>
  <si>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</si>
  <si>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</si>
  <si>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</si>
  <si>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</si>
  <si>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</si>
  <si>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</si>
  <si>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</si>
  <si>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</si>
  <si>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</si>
  <si>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</si>
  <si>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</si>
  <si>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</si>
  <si>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</si>
  <si>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</si>
  <si>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</si>
  <si>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</si>
  <si>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</si>
  <si>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</si>
  <si>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</si>
  <si>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</si>
  <si>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</si>
  <si>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</si>
  <si>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</si>
  <si>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</si>
  <si>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</si>
  <si>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</si>
  <si>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 xml:space="preserve">    &lt;&lt; OKLAHOMA TRANSMISSION COMPANY &gt;&gt;</t>
  </si>
  <si>
    <t>AEP Oklahoma Transco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</si>
  <si>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</si>
  <si>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</si>
  <si>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</si>
  <si>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</si>
  <si>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</si>
  <si>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</si>
  <si>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</si>
  <si>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</si>
  <si>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</si>
  <si>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</si>
  <si>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</si>
  <si>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</si>
  <si>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(H)</t>
  </si>
  <si>
    <t xml:space="preserve"> (I) = (G) + (H)</t>
  </si>
  <si>
    <t>2017 ROE Refund</t>
  </si>
  <si>
    <t>AEPTCo Formula Rate -- FERC Docket ER18-194</t>
  </si>
  <si>
    <t>2019 True Up Including Interest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</si>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</sst>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  <numFmt numFmtId="169" formatCode="0E+00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0" fontId="3" fillId="0" borderId="17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20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1" xfId="0" applyBorder="1" applyProtection="1"/>
    <xf numFmtId="0" fontId="9" fillId="3" borderId="22" xfId="0" quotePrefix="1" applyFont="1" applyFill="1" applyBorder="1" applyAlignment="1" applyProtection="1">
      <alignment horizontal="left" vertical="center" wrapText="1"/>
    </xf>
    <xf numFmtId="165" fontId="0" fillId="3" borderId="23" xfId="2" applyNumberFormat="1" applyFont="1" applyFill="1" applyBorder="1" applyAlignment="1" applyProtection="1">
      <alignment vertical="center"/>
    </xf>
    <xf numFmtId="165" fontId="0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165" fontId="3" fillId="3" borderId="27" xfId="2" applyNumberFormat="1" applyFont="1" applyFill="1" applyBorder="1" applyAlignment="1" applyProtection="1">
      <alignment vertical="center"/>
    </xf>
    <xf numFmtId="0" fontId="0" fillId="0" borderId="28" xfId="0" quotePrefix="1" applyBorder="1" applyAlignment="1" applyProtection="1">
      <alignment horizontal="left"/>
    </xf>
    <xf numFmtId="0" fontId="0" fillId="0" borderId="20" xfId="0" applyBorder="1" applyProtection="1"/>
    <xf numFmtId="0" fontId="0" fillId="0" borderId="29" xfId="0" applyBorder="1" applyProtection="1"/>
    <xf numFmtId="0" fontId="9" fillId="0" borderId="22" xfId="0" quotePrefix="1" applyFont="1" applyFill="1" applyBorder="1" applyAlignment="1" applyProtection="1">
      <alignment horizontal="left" vertical="center" wrapText="1"/>
    </xf>
    <xf numFmtId="165" fontId="0" fillId="0" borderId="23" xfId="2" applyNumberFormat="1" applyFont="1" applyFill="1" applyBorder="1" applyAlignment="1" applyProtection="1">
      <alignment vertical="center"/>
    </xf>
    <xf numFmtId="165" fontId="0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5" fontId="3" fillId="0" borderId="27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5" fontId="0" fillId="0" borderId="34" xfId="2" applyNumberFormat="1" applyFont="1" applyBorder="1" applyAlignment="1" applyProtection="1">
      <alignment vertical="center"/>
    </xf>
    <xf numFmtId="166" fontId="0" fillId="0" borderId="0" xfId="1" applyNumberFormat="1" applyFont="1" applyProtection="1"/>
    <xf numFmtId="166" fontId="0" fillId="0" borderId="0" xfId="0" applyNumberFormat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39" xfId="0" pivotButton="1" applyBorder="1" applyProtection="1"/>
    <xf numFmtId="0" fontId="0" fillId="0" borderId="41" xfId="0" applyBorder="1" applyProtection="1"/>
    <xf numFmtId="17" fontId="0" fillId="0" borderId="39" xfId="0" applyNumberFormat="1" applyBorder="1" applyProtection="1"/>
    <xf numFmtId="17" fontId="0" fillId="0" borderId="42" xfId="0" applyNumberFormat="1" applyBorder="1" applyProtection="1"/>
    <xf numFmtId="17" fontId="0" fillId="0" borderId="43" xfId="0" applyNumberFormat="1" applyBorder="1" applyProtection="1"/>
    <xf numFmtId="166" fontId="0" fillId="0" borderId="39" xfId="0" applyNumberFormat="1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0" fontId="0" fillId="0" borderId="44" xfId="0" applyBorder="1" applyProtection="1"/>
    <xf numFmtId="166" fontId="0" fillId="0" borderId="44" xfId="0" applyNumberFormat="1" applyBorder="1" applyProtection="1"/>
    <xf numFmtId="166" fontId="0" fillId="0" borderId="45" xfId="0" applyNumberFormat="1" applyBorder="1" applyProtection="1"/>
    <xf numFmtId="0" fontId="0" fillId="0" borderId="46" xfId="0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166" fontId="0" fillId="0" borderId="48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7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5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5" xfId="0" quotePrefix="1" applyBorder="1" applyAlignment="1" applyProtection="1">
      <alignment horizontal="right"/>
    </xf>
    <xf numFmtId="0" fontId="0" fillId="0" borderId="24" xfId="0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164" fontId="3" fillId="0" borderId="26" xfId="0" applyNumberFormat="1" applyFont="1" applyBorder="1" applyAlignment="1" applyProtection="1">
      <alignment horizontal="right"/>
    </xf>
    <xf numFmtId="167" fontId="0" fillId="0" borderId="24" xfId="0" applyNumberFormat="1" applyBorder="1" applyAlignment="1" applyProtection="1">
      <alignment horizontal="center"/>
    </xf>
    <xf numFmtId="167" fontId="0" fillId="4" borderId="26" xfId="0" applyNumberFormat="1" applyFill="1" applyBorder="1" applyAlignment="1" applyProtection="1">
      <alignment horizontal="center"/>
    </xf>
    <xf numFmtId="167" fontId="0" fillId="0" borderId="36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9" xfId="0" applyNumberFormat="1" applyFont="1" applyBorder="1" applyAlignment="1" applyProtection="1">
      <alignment horizontal="right"/>
    </xf>
    <xf numFmtId="14" fontId="1" fillId="0" borderId="18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5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5" xfId="0" applyNumberFormat="1" applyFont="1" applyBorder="1" applyAlignment="1" applyProtection="1">
      <alignment horizontal="center"/>
    </xf>
    <xf numFmtId="14" fontId="0" fillId="0" borderId="18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5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7" xfId="0" quotePrefix="1" applyFont="1" applyBorder="1" applyAlignment="1" applyProtection="1">
      <alignment horizontal="center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164" fontId="4" fillId="0" borderId="24" xfId="0" quotePrefix="1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4" xfId="0" quotePrefix="1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quotePrefix="1" applyFont="1" applyBorder="1" applyAlignment="1" applyProtection="1">
      <alignment horizontal="center" vertical="center" wrapText="1"/>
    </xf>
    <xf numFmtId="164" fontId="4" fillId="5" borderId="24" xfId="0" quotePrefix="1" applyNumberFormat="1" applyFont="1" applyFill="1" applyBorder="1" applyAlignment="1" applyProtection="1">
      <alignment horizontal="center" vertical="center" wrapText="1"/>
    </xf>
    <xf numFmtId="164" fontId="4" fillId="0" borderId="24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37" xfId="0" applyNumberFormat="1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8" xfId="0" applyNumberFormat="1" applyBorder="1" applyAlignment="1" applyProtection="1">
      <alignment horizontal="center"/>
    </xf>
    <xf numFmtId="14" fontId="1" fillId="0" borderId="38" xfId="0" applyNumberFormat="1" applyFont="1" applyFill="1" applyBorder="1" applyProtection="1"/>
    <xf numFmtId="14" fontId="7" fillId="2" borderId="38" xfId="0" applyNumberFormat="1" applyFont="1" applyFill="1" applyBorder="1" applyAlignment="1" applyProtection="1">
      <alignment horizontal="left"/>
    </xf>
    <xf numFmtId="0" fontId="0" fillId="0" borderId="38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8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64" fontId="1" fillId="0" borderId="37" xfId="0" applyNumberFormat="1" applyFont="1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7" fontId="1" fillId="0" borderId="36" xfId="0" applyNumberFormat="1" applyFont="1" applyBorder="1" applyAlignment="1" applyProtection="1">
      <alignment horizontal="center"/>
    </xf>
    <xf numFmtId="0" fontId="0" fillId="0" borderId="49" xfId="0" applyBorder="1" applyProtection="1"/>
    <xf numFmtId="0" fontId="0" fillId="0" borderId="50" xfId="0" applyBorder="1" applyProtection="1"/>
    <xf numFmtId="0" fontId="0" fillId="0" borderId="0" xfId="0" quotePrefix="1" applyBorder="1" applyAlignment="1" applyProtection="1">
      <alignment horizontal="center"/>
    </xf>
    <xf numFmtId="166" fontId="25" fillId="0" borderId="44" xfId="0" applyNumberFormat="1" applyFont="1" applyBorder="1" applyProtection="1"/>
    <xf numFmtId="166" fontId="25" fillId="0" borderId="0" xfId="0" applyNumberFormat="1" applyFont="1" applyProtection="1"/>
    <xf numFmtId="166" fontId="25" fillId="0" borderId="45" xfId="0" applyNumberFormat="1" applyFont="1" applyBorder="1" applyProtection="1"/>
    <xf numFmtId="166" fontId="25" fillId="0" borderId="39" xfId="0" applyNumberFormat="1" applyFont="1" applyBorder="1" applyProtection="1"/>
    <xf numFmtId="166" fontId="25" fillId="0" borderId="42" xfId="0" applyNumberFormat="1" applyFont="1" applyBorder="1" applyProtection="1"/>
    <xf numFmtId="166" fontId="25" fillId="0" borderId="43" xfId="0" applyNumberFormat="1" applyFont="1" applyBorder="1" applyProtection="1"/>
    <xf numFmtId="166" fontId="0" fillId="0" borderId="0" xfId="0" applyNumberFormat="1" applyFill="1" applyBorder="1" applyProtection="1"/>
    <xf numFmtId="2" fontId="8" fillId="6" borderId="0" xfId="0" applyNumberFormat="1" applyFont="1" applyFill="1" applyBorder="1" applyAlignment="1" applyProtection="1">
      <alignment horizontal="center"/>
    </xf>
    <xf numFmtId="2" fontId="8" fillId="6" borderId="8" xfId="0" applyNumberFormat="1" applyFont="1" applyFill="1" applyBorder="1" applyAlignment="1" applyProtection="1">
      <alignment horizontal="center"/>
    </xf>
    <xf numFmtId="43" fontId="0" fillId="0" borderId="0" xfId="0" applyNumberFormat="1" applyProtection="1"/>
    <xf numFmtId="44" fontId="0" fillId="0" borderId="0" xfId="0" applyNumberFormat="1" applyProtection="1"/>
    <xf numFmtId="9" fontId="0" fillId="0" borderId="0" xfId="4" applyNumberFormat="1" applyFont="1" applyProtection="1"/>
    <xf numFmtId="169" fontId="0" fillId="0" borderId="0" xfId="0" applyNumberFormat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014.579759490742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19-12-02T00:00:00" count="120"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19-02-05T00:00:00" maxDate="2020-01-04T00:00:00"/>
    </cacheField>
    <cacheField name="Payment Received*" numFmtId="14">
      <sharedItems containsSemiMixedTypes="0" containsNonDate="0" containsDate="1" containsString="0" minDate="2019-02-20T00:00:00" maxDate="2020-01-21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0">
      <sharedItems containsSemiMixedTypes="0" containsString="0" containsNumber="1" containsInteger="1" minValue="1" maxValue="4089"/>
    </cacheField>
    <cacheField name="Projected Rate (as Invoiced)" numFmtId="164">
      <sharedItems containsSemiMixedTypes="0" containsString="0" containsNumber="1" minValue="798.4" maxValue="904.88"/>
    </cacheField>
    <cacheField name="Actual True-Up Rate" numFmtId="164">
      <sharedItems containsSemiMixedTypes="0" containsString="0" containsNumber="1" minValue="564.18908876700141" maxValue="564.18908876700141"/>
    </cacheField>
    <cacheField name="True-Up Charge" numFmtId="164">
      <sharedItems containsSemiMixedTypes="0" containsString="0" containsNumber="1" minValue="564.18908876700141" maxValue="2306969.1839682688"/>
    </cacheField>
    <cacheField name="Invoiced*** Charge (proj.)" numFmtId="164">
      <sharedItems containsSemiMixedTypes="0" containsString="0" containsNumber="1" minValue="904.88" maxValue="3549844.2399999998"/>
    </cacheField>
    <cacheField name="True-Up w/o Interest" numFmtId="164">
      <sharedItems containsSemiMixedTypes="0" containsString="0" containsNumber="1" minValue="-1336530.4447670532" maxValue="-340.69091123299859"/>
    </cacheField>
    <cacheField name="Interest" numFmtId="164">
      <sharedItems containsSemiMixedTypes="0" containsString="0" containsNumber="1" minValue="-60455.565400052685" maxValue="-14.784926730264781"/>
    </cacheField>
    <cacheField name="2019 True Up Including Interest" numFmtId="164">
      <sharedItems containsSemiMixedTypes="0" containsString="0" containsNumber="1" minValue="-1394531.712329882" maxValue="-355.47583796326336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1394531.712329882" maxValue="-355.475837963263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19-02-05T00:00:00"/>
    <d v="2019-02-20T00:00:00"/>
    <x v="0"/>
    <n v="9"/>
    <n v="2561"/>
    <n v="904.88"/>
    <n v="564.18908876700141"/>
    <n v="1444888.2563322906"/>
    <n v="2317397.6800000002"/>
    <n v="-872509.42366770958"/>
    <n v="-37864.197356208104"/>
    <n v="-910373.62102391769"/>
    <n v="0"/>
    <n v="0"/>
    <n v="0"/>
    <n v="-910373.62102391769"/>
  </r>
  <r>
    <x v="1"/>
    <d v="2019-03-05T00:00:00"/>
    <d v="2019-03-20T00:00:00"/>
    <x v="0"/>
    <n v="9"/>
    <n v="2792"/>
    <n v="904.88"/>
    <n v="564.18908876700141"/>
    <n v="1575215.9358374679"/>
    <n v="2526424.96"/>
    <n v="-951209.02416253206"/>
    <n v="-41279.515430899264"/>
    <n v="-992488.53959343128"/>
    <n v="0"/>
    <n v="0"/>
    <n v="0"/>
    <n v="-992488.53959343128"/>
  </r>
  <r>
    <x v="2"/>
    <d v="2019-04-03T00:00:00"/>
    <d v="2019-04-18T00:00:00"/>
    <x v="0"/>
    <n v="9"/>
    <n v="2805"/>
    <n v="904.88"/>
    <n v="564.18908876700141"/>
    <n v="1582550.3939914389"/>
    <n v="2538188.4"/>
    <n v="-955638.006008561"/>
    <n v="-41471.719478392704"/>
    <n v="-997109.72548695374"/>
    <n v="0"/>
    <n v="0"/>
    <n v="0"/>
    <n v="-997109.72548695374"/>
  </r>
  <r>
    <x v="3"/>
    <d v="2019-05-03T00:00:00"/>
    <d v="2019-05-20T00:00:00"/>
    <x v="0"/>
    <n v="9"/>
    <n v="2574"/>
    <n v="904.88"/>
    <n v="564.18908876700141"/>
    <n v="1452222.7144862616"/>
    <n v="2329161.12"/>
    <n v="-876938.40551373851"/>
    <n v="-38056.401403701551"/>
    <n v="-914994.80691744003"/>
    <n v="0"/>
    <n v="0"/>
    <n v="0"/>
    <n v="-914994.80691744003"/>
  </r>
  <r>
    <x v="4"/>
    <d v="2019-06-05T00:00:00"/>
    <d v="2019-06-20T00:00:00"/>
    <x v="0"/>
    <n v="9"/>
    <n v="2970"/>
    <n v="904.88"/>
    <n v="564.18908876700141"/>
    <n v="1675641.5936379943"/>
    <n v="2687493.6"/>
    <n v="-1011852.0063620058"/>
    <n v="-43911.232388886398"/>
    <n v="-1055763.2387508922"/>
    <n v="0"/>
    <n v="0"/>
    <n v="0"/>
    <n v="-1055763.2387508922"/>
  </r>
  <r>
    <x v="5"/>
    <d v="2019-07-03T00:00:00"/>
    <d v="2019-07-18T00:00:00"/>
    <x v="0"/>
    <n v="9"/>
    <n v="3724"/>
    <n v="904.88"/>
    <n v="564.18908876700141"/>
    <n v="2101040.1665683133"/>
    <n v="3369773.12"/>
    <n v="-1268732.9534316869"/>
    <n v="-55059.067143506036"/>
    <n v="-1323792.020575193"/>
    <n v="0"/>
    <n v="0"/>
    <n v="0"/>
    <n v="-1323792.020575193"/>
  </r>
  <r>
    <x v="6"/>
    <d v="2019-08-05T00:00:00"/>
    <d v="2019-08-20T00:00:00"/>
    <x v="0"/>
    <n v="9"/>
    <n v="3923"/>
    <n v="904.88"/>
    <n v="564.18908876700141"/>
    <n v="2213313.7952329465"/>
    <n v="3549844.2399999998"/>
    <n v="-1336530.4447670532"/>
    <n v="-58001.26756282874"/>
    <n v="-1394531.712329882"/>
    <n v="0"/>
    <n v="0"/>
    <n v="0"/>
    <n v="-1394531.712329882"/>
  </r>
  <r>
    <x v="7"/>
    <d v="2019-09-04T00:00:00"/>
    <d v="2019-09-19T00:00:00"/>
    <x v="0"/>
    <n v="9"/>
    <n v="4089"/>
    <n v="798.4"/>
    <n v="564.18908876700141"/>
    <n v="2306969.1839682688"/>
    <n v="3264657.6"/>
    <n v="-957688.41603173129"/>
    <n v="-60455.565400052685"/>
    <n v="-1018143.981431784"/>
    <n v="0"/>
    <n v="0"/>
    <n v="0"/>
    <n v="-1018143.981431784"/>
  </r>
  <r>
    <x v="8"/>
    <d v="2019-10-03T00:00:00"/>
    <d v="2019-10-18T00:00:00"/>
    <x v="0"/>
    <n v="9"/>
    <n v="3731"/>
    <n v="798.4"/>
    <n v="564.18908876700141"/>
    <n v="2104989.4901896822"/>
    <n v="2978830.4"/>
    <n v="-873840.90981031768"/>
    <n v="-55162.561630617893"/>
    <n v="-929003.47144093562"/>
    <n v="0"/>
    <n v="0"/>
    <n v="0"/>
    <n v="-929003.47144093562"/>
  </r>
  <r>
    <x v="9"/>
    <d v="2019-11-05T00:00:00"/>
    <d v="2019-11-20T00:00:00"/>
    <x v="0"/>
    <n v="9"/>
    <n v="3527"/>
    <n v="798.4"/>
    <n v="564.18908876700141"/>
    <n v="1989894.9160812139"/>
    <n v="2815956.8"/>
    <n v="-826061.88391878596"/>
    <n v="-52146.436577643886"/>
    <n v="-878208.32049642981"/>
    <n v="0"/>
    <n v="0"/>
    <n v="0"/>
    <n v="-878208.32049642981"/>
  </r>
  <r>
    <x v="10"/>
    <d v="2019-12-04T00:00:00"/>
    <d v="2019-12-19T00:00:00"/>
    <x v="0"/>
    <n v="9"/>
    <n v="2569"/>
    <n v="798.4"/>
    <n v="564.18908876700141"/>
    <n v="1449401.7690424267"/>
    <n v="2051089.5999999999"/>
    <n v="-601687.83095757314"/>
    <n v="-37982.47677005022"/>
    <n v="-639670.30772762338"/>
    <n v="0"/>
    <n v="0"/>
    <n v="0"/>
    <n v="-639670.30772762338"/>
  </r>
  <r>
    <x v="11"/>
    <d v="2020-01-03T00:00:00"/>
    <d v="2020-01-20T00:00:00"/>
    <x v="0"/>
    <n v="9"/>
    <n v="2599"/>
    <n v="798.4"/>
    <n v="564.18908876700141"/>
    <n v="1466327.4417054367"/>
    <n v="2075041.5999999999"/>
    <n v="-608714.15829456318"/>
    <n v="-38426.024571958165"/>
    <n v="-647140.1828665213"/>
    <n v="0"/>
    <n v="0"/>
    <n v="0"/>
    <n v="-647140.1828665213"/>
  </r>
  <r>
    <x v="0"/>
    <d v="2019-02-05T00:00:00"/>
    <d v="2019-02-20T00:00:00"/>
    <x v="1"/>
    <n v="9"/>
    <n v="2997"/>
    <n v="904.88"/>
    <n v="564.18908876700141"/>
    <n v="1690874.6990347032"/>
    <n v="2711925.36"/>
    <n v="-1021050.6609652967"/>
    <n v="-44310.425410603544"/>
    <n v="-1065361.0863759003"/>
    <n v="0"/>
    <n v="0"/>
    <n v="0"/>
    <n v="-1065361.0863759003"/>
  </r>
  <r>
    <x v="1"/>
    <d v="2019-03-05T00:00:00"/>
    <d v="2019-03-20T00:00:00"/>
    <x v="1"/>
    <n v="9"/>
    <n v="2891"/>
    <n v="904.88"/>
    <n v="564.18908876700141"/>
    <n v="1631070.6556254011"/>
    <n v="2616008.08"/>
    <n v="-984937.42437459901"/>
    <n v="-42743.223177195483"/>
    <n v="-1027680.6475517945"/>
    <n v="0"/>
    <n v="0"/>
    <n v="0"/>
    <n v="-1027680.6475517945"/>
  </r>
  <r>
    <x v="2"/>
    <d v="2019-04-03T00:00:00"/>
    <d v="2019-04-18T00:00:00"/>
    <x v="1"/>
    <n v="9"/>
    <n v="2972"/>
    <n v="904.88"/>
    <n v="564.18908876700141"/>
    <n v="1676769.9718155281"/>
    <n v="2689303.36"/>
    <n v="-1012533.3881844718"/>
    <n v="-43940.80224234693"/>
    <n v="-1056474.1904268188"/>
    <n v="0"/>
    <n v="0"/>
    <n v="0"/>
    <n v="-1056474.1904268188"/>
  </r>
  <r>
    <x v="3"/>
    <d v="2019-05-03T00:00:00"/>
    <d v="2019-05-20T00:00:00"/>
    <x v="1"/>
    <n v="9"/>
    <n v="2449"/>
    <n v="904.88"/>
    <n v="564.18908876700141"/>
    <n v="1381699.0783903864"/>
    <n v="2216051.12"/>
    <n v="-834352.04160961369"/>
    <n v="-36208.285562418445"/>
    <n v="-870560.32717203209"/>
    <n v="0"/>
    <n v="0"/>
    <n v="0"/>
    <n v="-870560.32717203209"/>
  </r>
  <r>
    <x v="4"/>
    <d v="2019-06-05T00:00:00"/>
    <d v="2019-06-20T00:00:00"/>
    <x v="1"/>
    <n v="9"/>
    <n v="3052"/>
    <n v="904.88"/>
    <n v="564.18908876700141"/>
    <n v="1721905.0989168882"/>
    <n v="2761693.76"/>
    <n v="-1039788.6610831115"/>
    <n v="-45123.596380768111"/>
    <n v="-1084912.2574638797"/>
    <n v="0"/>
    <n v="0"/>
    <n v="0"/>
    <n v="-1084912.2574638797"/>
  </r>
  <r>
    <x v="5"/>
    <d v="2019-07-03T00:00:00"/>
    <d v="2019-07-18T00:00:00"/>
    <x v="1"/>
    <n v="9"/>
    <n v="3362"/>
    <n v="904.88"/>
    <n v="564.18908876700141"/>
    <n v="1896803.7164346587"/>
    <n v="3042206.56"/>
    <n v="-1145402.8435653413"/>
    <n v="-49706.923667150193"/>
    <n v="-1195109.7672324914"/>
    <n v="0"/>
    <n v="0"/>
    <n v="0"/>
    <n v="-1195109.7672324914"/>
  </r>
  <r>
    <x v="6"/>
    <d v="2019-08-05T00:00:00"/>
    <d v="2019-08-20T00:00:00"/>
    <x v="1"/>
    <n v="9"/>
    <n v="3457"/>
    <n v="904.88"/>
    <n v="564.18908876700141"/>
    <n v="1950401.679867524"/>
    <n v="3128170.16"/>
    <n v="-1177768.4801324762"/>
    <n v="-51111.491706525339"/>
    <n v="-1228879.9718390016"/>
    <n v="0"/>
    <n v="0"/>
    <n v="0"/>
    <n v="-1228879.9718390016"/>
  </r>
  <r>
    <x v="7"/>
    <d v="2019-09-04T00:00:00"/>
    <d v="2019-09-19T00:00:00"/>
    <x v="1"/>
    <n v="9"/>
    <n v="3664"/>
    <n v="798.4"/>
    <n v="564.18908876700141"/>
    <n v="2067188.8212422931"/>
    <n v="2925337.6"/>
    <n v="-858148.77875770698"/>
    <n v="-54171.971539690152"/>
    <n v="-912320.75029739714"/>
    <n v="0"/>
    <n v="0"/>
    <n v="0"/>
    <n v="-912320.75029739714"/>
  </r>
  <r>
    <x v="8"/>
    <d v="2019-10-03T00:00:00"/>
    <d v="2019-10-18T00:00:00"/>
    <x v="1"/>
    <n v="9"/>
    <n v="3474"/>
    <n v="798.4"/>
    <n v="564.18908876700141"/>
    <n v="1959992.8943765629"/>
    <n v="2773641.6"/>
    <n v="-813648.70562343718"/>
    <n v="-51362.835460939845"/>
    <n v="-865011.54108437698"/>
    <n v="0"/>
    <n v="0"/>
    <n v="0"/>
    <n v="-865011.54108437698"/>
  </r>
  <r>
    <x v="9"/>
    <d v="2019-11-05T00:00:00"/>
    <d v="2019-11-20T00:00:00"/>
    <x v="1"/>
    <n v="9"/>
    <n v="3301"/>
    <n v="798.4"/>
    <n v="564.18908876700141"/>
    <n v="1862388.1820198717"/>
    <n v="2635518.4"/>
    <n v="-773130.21798012825"/>
    <n v="-48805.043136604043"/>
    <n v="-821935.26111673226"/>
    <n v="0"/>
    <n v="0"/>
    <n v="0"/>
    <n v="-821935.26111673226"/>
  </r>
  <r>
    <x v="10"/>
    <d v="2019-12-04T00:00:00"/>
    <d v="2019-12-19T00:00:00"/>
    <x v="1"/>
    <n v="9"/>
    <n v="2932"/>
    <n v="798.4"/>
    <n v="564.18908876700141"/>
    <n v="1654202.4082648482"/>
    <n v="2340908.7999999998"/>
    <n v="-686706.39173515164"/>
    <n v="-43349.405173136336"/>
    <n v="-730055.79690828803"/>
    <n v="0"/>
    <n v="0"/>
    <n v="0"/>
    <n v="-730055.79690828803"/>
  </r>
  <r>
    <x v="11"/>
    <d v="2020-01-03T00:00:00"/>
    <d v="2020-01-20T00:00:00"/>
    <x v="1"/>
    <n v="9"/>
    <n v="2839"/>
    <n v="798.4"/>
    <n v="564.18908876700141"/>
    <n v="1601732.823009517"/>
    <n v="2266657.6"/>
    <n v="-664924.77699048305"/>
    <n v="-41974.406987221708"/>
    <n v="-706899.18397770473"/>
    <n v="0"/>
    <n v="0"/>
    <n v="0"/>
    <n v="-706899.18397770473"/>
  </r>
  <r>
    <x v="0"/>
    <d v="2019-02-05T00:00:00"/>
    <d v="2019-02-20T00:00:00"/>
    <x v="2"/>
    <n v="9"/>
    <n v="157"/>
    <n v="904.88"/>
    <n v="564.18908876700141"/>
    <n v="88577.686936419224"/>
    <n v="142066.16"/>
    <n v="-53488.473063580779"/>
    <n v="-2321.2334966515705"/>
    <n v="-55809.706560232349"/>
    <n v="0"/>
    <n v="0"/>
    <n v="0"/>
    <n v="-55809.706560232349"/>
  </r>
  <r>
    <x v="1"/>
    <d v="2019-03-05T00:00:00"/>
    <d v="2019-03-20T00:00:00"/>
    <x v="2"/>
    <n v="9"/>
    <n v="138"/>
    <n v="904.88"/>
    <n v="564.18908876700141"/>
    <n v="77858.094249846195"/>
    <n v="124873.44"/>
    <n v="-47015.345750153807"/>
    <n v="-2040.3198887765395"/>
    <n v="-49055.665638930346"/>
    <n v="0"/>
    <n v="0"/>
    <n v="0"/>
    <n v="-49055.665638930346"/>
  </r>
  <r>
    <x v="2"/>
    <d v="2019-04-03T00:00:00"/>
    <d v="2019-04-18T00:00:00"/>
    <x v="2"/>
    <n v="9"/>
    <n v="153"/>
    <n v="904.88"/>
    <n v="564.18908876700141"/>
    <n v="86320.930581351218"/>
    <n v="138446.63999999998"/>
    <n v="-52125.709418648767"/>
    <n v="-2262.0937897305116"/>
    <n v="-54387.803208379279"/>
    <n v="0"/>
    <n v="0"/>
    <n v="0"/>
    <n v="-54387.803208379279"/>
  </r>
  <r>
    <x v="3"/>
    <d v="2019-05-03T00:00:00"/>
    <d v="2019-05-20T00:00:00"/>
    <x v="2"/>
    <n v="9"/>
    <n v="85"/>
    <n v="904.88"/>
    <n v="564.18908876700141"/>
    <n v="47956.072545195122"/>
    <n v="76914.8"/>
    <n v="-28958.727454804881"/>
    <n v="-1256.7187720725065"/>
    <n v="-30215.446226877386"/>
    <n v="0"/>
    <n v="0"/>
    <n v="0"/>
    <n v="-30215.446226877386"/>
  </r>
  <r>
    <x v="4"/>
    <d v="2019-06-05T00:00:00"/>
    <d v="2019-06-20T00:00:00"/>
    <x v="2"/>
    <n v="9"/>
    <n v="115"/>
    <n v="904.88"/>
    <n v="564.18908876700141"/>
    <n v="64881.74520820516"/>
    <n v="104061.2"/>
    <n v="-39179.454791794837"/>
    <n v="-1700.2665739804497"/>
    <n v="-40879.721365775287"/>
    <n v="0"/>
    <n v="0"/>
    <n v="0"/>
    <n v="-40879.721365775287"/>
  </r>
  <r>
    <x v="5"/>
    <d v="2019-07-03T00:00:00"/>
    <d v="2019-07-18T00:00:00"/>
    <x v="2"/>
    <n v="9"/>
    <n v="119"/>
    <n v="904.88"/>
    <n v="564.18908876700141"/>
    <n v="67138.501563273167"/>
    <n v="107680.72"/>
    <n v="-40542.218436726835"/>
    <n v="-1759.4062809015088"/>
    <n v="-42301.624717628343"/>
    <n v="0"/>
    <n v="0"/>
    <n v="0"/>
    <n v="-42301.624717628343"/>
  </r>
  <r>
    <x v="6"/>
    <d v="2019-08-05T00:00:00"/>
    <d v="2019-08-20T00:00:00"/>
    <x v="2"/>
    <n v="9"/>
    <n v="136"/>
    <n v="904.88"/>
    <n v="564.18908876700141"/>
    <n v="76729.716072312192"/>
    <n v="123063.67999999999"/>
    <n v="-46333.963927687801"/>
    <n v="-2010.7500353160101"/>
    <n v="-48344.713963003807"/>
    <n v="0"/>
    <n v="0"/>
    <n v="0"/>
    <n v="-48344.713963003807"/>
  </r>
  <r>
    <x v="7"/>
    <d v="2019-09-04T00:00:00"/>
    <d v="2019-09-19T00:00:00"/>
    <x v="2"/>
    <n v="9"/>
    <n v="141"/>
    <n v="798.4"/>
    <n v="564.18908876700141"/>
    <n v="79550.6615161472"/>
    <n v="112574.39999999999"/>
    <n v="-33023.738483852794"/>
    <n v="-2084.6746689673341"/>
    <n v="-35108.413152820125"/>
    <n v="0"/>
    <n v="0"/>
    <n v="0"/>
    <n v="-35108.413152820125"/>
  </r>
  <r>
    <x v="8"/>
    <d v="2019-10-03T00:00:00"/>
    <d v="2019-10-18T00:00:00"/>
    <x v="2"/>
    <n v="9"/>
    <n v="137"/>
    <n v="798.4"/>
    <n v="564.18908876700141"/>
    <n v="77293.905161079194"/>
    <n v="109380.8"/>
    <n v="-32086.894838920809"/>
    <n v="-2025.534962046275"/>
    <n v="-34112.429800967082"/>
    <n v="0"/>
    <n v="0"/>
    <n v="0"/>
    <n v="-34112.429800967082"/>
  </r>
  <r>
    <x v="9"/>
    <d v="2019-11-05T00:00:00"/>
    <d v="2019-11-20T00:00:00"/>
    <x v="2"/>
    <n v="9"/>
    <n v="125"/>
    <n v="798.4"/>
    <n v="564.18908876700141"/>
    <n v="70523.636095875176"/>
    <n v="99800"/>
    <n v="-29276.363904124824"/>
    <n v="-1848.1158412830978"/>
    <n v="-31124.479745407923"/>
    <n v="0"/>
    <n v="0"/>
    <n v="0"/>
    <n v="-31124.479745407923"/>
  </r>
  <r>
    <x v="10"/>
    <d v="2019-12-04T00:00:00"/>
    <d v="2019-12-19T00:00:00"/>
    <x v="2"/>
    <n v="9"/>
    <n v="157"/>
    <n v="798.4"/>
    <n v="564.18908876700141"/>
    <n v="88577.686936419224"/>
    <n v="125348.8"/>
    <n v="-36771.113063580779"/>
    <n v="-2321.2334966515705"/>
    <n v="-39092.346560232349"/>
    <n v="0"/>
    <n v="0"/>
    <n v="0"/>
    <n v="-39092.346560232349"/>
  </r>
  <r>
    <x v="11"/>
    <d v="2020-01-03T00:00:00"/>
    <d v="2020-01-20T00:00:00"/>
    <x v="2"/>
    <n v="9"/>
    <n v="152"/>
    <n v="798.4"/>
    <n v="564.18908876700141"/>
    <n v="85756.741492584217"/>
    <n v="121356.8"/>
    <n v="-35600.058507415786"/>
    <n v="-2247.3088630002467"/>
    <n v="-37847.367370416032"/>
    <n v="0"/>
    <n v="0"/>
    <n v="0"/>
    <n v="-37847.367370416032"/>
  </r>
  <r>
    <x v="0"/>
    <d v="2019-02-05T00:00:00"/>
    <d v="2019-02-20T00:00:00"/>
    <x v="3"/>
    <n v="9"/>
    <n v="765"/>
    <n v="904.88"/>
    <n v="564.18908876700141"/>
    <n v="431604.65290675609"/>
    <n v="692233.2"/>
    <n v="-260628.54709324386"/>
    <n v="-11310.468948652557"/>
    <n v="-271939.01604189642"/>
    <n v="0"/>
    <n v="0"/>
    <n v="0"/>
    <n v="-271939.01604189642"/>
  </r>
  <r>
    <x v="1"/>
    <d v="2019-03-05T00:00:00"/>
    <d v="2019-03-20T00:00:00"/>
    <x v="3"/>
    <n v="9"/>
    <n v="823"/>
    <n v="904.88"/>
    <n v="564.18908876700141"/>
    <n v="464327.62005524215"/>
    <n v="744716.24"/>
    <n v="-280388.61994475784"/>
    <n v="-12167.994699007915"/>
    <n v="-292556.61464376573"/>
    <n v="0"/>
    <n v="0"/>
    <n v="0"/>
    <n v="-292556.61464376573"/>
  </r>
  <r>
    <x v="2"/>
    <d v="2019-04-03T00:00:00"/>
    <d v="2019-04-18T00:00:00"/>
    <x v="3"/>
    <n v="9"/>
    <n v="810"/>
    <n v="904.88"/>
    <n v="564.18908876700141"/>
    <n v="456993.16190127115"/>
    <n v="732952.8"/>
    <n v="-275959.6380987289"/>
    <n v="-11975.790651514473"/>
    <n v="-287935.42875024339"/>
    <n v="0"/>
    <n v="0"/>
    <n v="0"/>
    <n v="-287935.42875024339"/>
  </r>
  <r>
    <x v="3"/>
    <d v="2019-05-03T00:00:00"/>
    <d v="2019-05-20T00:00:00"/>
    <x v="3"/>
    <n v="9"/>
    <n v="488"/>
    <n v="904.88"/>
    <n v="564.18908876700141"/>
    <n v="275324.27531829668"/>
    <n v="441581.44"/>
    <n v="-166257.16468170332"/>
    <n v="-7215.0442443692127"/>
    <n v="-173472.20892607252"/>
    <n v="0"/>
    <n v="0"/>
    <n v="0"/>
    <n v="-173472.20892607252"/>
  </r>
  <r>
    <x v="4"/>
    <d v="2019-06-05T00:00:00"/>
    <d v="2019-06-20T00:00:00"/>
    <x v="3"/>
    <n v="9"/>
    <n v="697"/>
    <n v="904.88"/>
    <n v="564.18908876700141"/>
    <n v="393239.79487059999"/>
    <n v="630701.36"/>
    <n v="-237461.5651294"/>
    <n v="-10305.093930994552"/>
    <n v="-247766.65906039454"/>
    <n v="0"/>
    <n v="0"/>
    <n v="0"/>
    <n v="-247766.65906039454"/>
  </r>
  <r>
    <x v="5"/>
    <d v="2019-07-03T00:00:00"/>
    <d v="2019-07-18T00:00:00"/>
    <x v="3"/>
    <n v="9"/>
    <n v="805"/>
    <n v="904.88"/>
    <n v="564.18908876700141"/>
    <n v="454172.21645743615"/>
    <n v="728428.4"/>
    <n v="-274256.18354256387"/>
    <n v="-11901.866017863147"/>
    <n v="-286158.04956042703"/>
    <n v="0"/>
    <n v="0"/>
    <n v="0"/>
    <n v="-286158.04956042703"/>
  </r>
  <r>
    <x v="6"/>
    <d v="2019-08-05T00:00:00"/>
    <d v="2019-08-20T00:00:00"/>
    <x v="3"/>
    <n v="9"/>
    <n v="840"/>
    <n v="904.88"/>
    <n v="564.18908876700141"/>
    <n v="473918.83456428116"/>
    <n v="760099.2"/>
    <n v="-286180.36543571879"/>
    <n v="-12419.338453422415"/>
    <n v="-298599.70388914121"/>
    <n v="0"/>
    <n v="0"/>
    <n v="0"/>
    <n v="-298599.70388914121"/>
  </r>
  <r>
    <x v="7"/>
    <d v="2019-09-04T00:00:00"/>
    <d v="2019-09-19T00:00:00"/>
    <x v="3"/>
    <n v="9"/>
    <n v="890"/>
    <n v="798.4"/>
    <n v="564.18908876700141"/>
    <n v="502128.28900263127"/>
    <n v="710576"/>
    <n v="-208447.71099736873"/>
    <n v="-13158.584789935654"/>
    <n v="-221606.29578730438"/>
    <n v="0"/>
    <n v="0"/>
    <n v="0"/>
    <n v="-221606.29578730438"/>
  </r>
  <r>
    <x v="8"/>
    <d v="2019-10-03T00:00:00"/>
    <d v="2019-10-18T00:00:00"/>
    <x v="3"/>
    <n v="9"/>
    <n v="818"/>
    <n v="798.4"/>
    <n v="564.18908876700141"/>
    <n v="461506.67461140716"/>
    <n v="653091.19999999995"/>
    <n v="-191584.5253885928"/>
    <n v="-12094.070065356591"/>
    <n v="-203678.59545394938"/>
    <n v="0"/>
    <n v="0"/>
    <n v="0"/>
    <n v="-203678.59545394938"/>
  </r>
  <r>
    <x v="9"/>
    <d v="2019-11-05T00:00:00"/>
    <d v="2019-11-20T00:00:00"/>
    <x v="3"/>
    <n v="9"/>
    <n v="759"/>
    <n v="798.4"/>
    <n v="564.18908876700141"/>
    <n v="428219.51837415405"/>
    <n v="605985.6"/>
    <n v="-177766.08162584592"/>
    <n v="-11221.759388270968"/>
    <n v="-188987.84101411689"/>
    <n v="0"/>
    <n v="0"/>
    <n v="0"/>
    <n v="-188987.84101411689"/>
  </r>
  <r>
    <x v="10"/>
    <d v="2019-12-04T00:00:00"/>
    <d v="2019-12-19T00:00:00"/>
    <x v="3"/>
    <n v="9"/>
    <n v="740"/>
    <n v="798.4"/>
    <n v="564.18908876700141"/>
    <n v="417499.92568758107"/>
    <n v="590816"/>
    <n v="-173316.07431241893"/>
    <n v="-10940.845780395937"/>
    <n v="-184256.92009281486"/>
    <n v="0"/>
    <n v="0"/>
    <n v="0"/>
    <n v="-184256.92009281486"/>
  </r>
  <r>
    <x v="11"/>
    <d v="2020-01-03T00:00:00"/>
    <d v="2020-01-20T00:00:00"/>
    <x v="3"/>
    <n v="9"/>
    <n v="752"/>
    <n v="798.4"/>
    <n v="564.18908876700141"/>
    <n v="424270.19475278509"/>
    <n v="600396.79999999993"/>
    <n v="-176126.60524721484"/>
    <n v="-11118.264901159115"/>
    <n v="-187244.87014837397"/>
    <n v="0"/>
    <n v="0"/>
    <n v="0"/>
    <n v="-187244.87014837397"/>
  </r>
  <r>
    <x v="0"/>
    <d v="2019-02-05T00:00:00"/>
    <d v="2019-02-20T00:00:00"/>
    <x v="4"/>
    <n v="9"/>
    <n v="38"/>
    <n v="904.88"/>
    <n v="564.18908876700141"/>
    <n v="21439.185373146054"/>
    <n v="34385.440000000002"/>
    <n v="-12946.254626853948"/>
    <n v="-561.82721575006167"/>
    <n v="-13508.08184260401"/>
    <n v="0"/>
    <n v="0"/>
    <n v="0"/>
    <n v="-13508.08184260401"/>
  </r>
  <r>
    <x v="1"/>
    <d v="2019-03-05T00:00:00"/>
    <d v="2019-03-20T00:00:00"/>
    <x v="4"/>
    <n v="9"/>
    <n v="43"/>
    <n v="904.88"/>
    <n v="564.18908876700141"/>
    <n v="24260.130816981062"/>
    <n v="38909.839999999997"/>
    <n v="-14649.709183018935"/>
    <n v="-635.75184940138558"/>
    <n v="-15285.46103242032"/>
    <n v="0"/>
    <n v="0"/>
    <n v="0"/>
    <n v="-15285.46103242032"/>
  </r>
  <r>
    <x v="2"/>
    <d v="2019-04-03T00:00:00"/>
    <d v="2019-04-18T00:00:00"/>
    <x v="4"/>
    <n v="9"/>
    <n v="45"/>
    <n v="904.88"/>
    <n v="564.18908876700141"/>
    <n v="25388.508994515065"/>
    <n v="40719.599999999999"/>
    <n v="-15331.091005484934"/>
    <n v="-665.32170286191513"/>
    <n v="-15996.412708346848"/>
    <n v="0"/>
    <n v="0"/>
    <n v="0"/>
    <n v="-15996.412708346848"/>
  </r>
  <r>
    <x v="3"/>
    <d v="2019-05-03T00:00:00"/>
    <d v="2019-05-20T00:00:00"/>
    <x v="4"/>
    <n v="9"/>
    <n v="22"/>
    <n v="904.88"/>
    <n v="564.18908876700141"/>
    <n v="12412.159952874032"/>
    <n v="19907.36"/>
    <n v="-7495.2000471259689"/>
    <n v="-325.26838806582515"/>
    <n v="-7820.468435191794"/>
    <n v="0"/>
    <n v="0"/>
    <n v="0"/>
    <n v="-7820.468435191794"/>
  </r>
  <r>
    <x v="4"/>
    <d v="2019-06-05T00:00:00"/>
    <d v="2019-06-20T00:00:00"/>
    <x v="4"/>
    <n v="9"/>
    <n v="31"/>
    <n v="904.88"/>
    <n v="564.18908876700141"/>
    <n v="17489.861751777044"/>
    <n v="28051.279999999999"/>
    <n v="-10561.418248222955"/>
    <n v="-458.33272863820821"/>
    <n v="-11019.750976861164"/>
    <n v="0"/>
    <n v="0"/>
    <n v="0"/>
    <n v="-11019.750976861164"/>
  </r>
  <r>
    <x v="5"/>
    <d v="2019-07-03T00:00:00"/>
    <d v="2019-07-18T00:00:00"/>
    <x v="4"/>
    <n v="9"/>
    <n v="44"/>
    <n v="904.88"/>
    <n v="564.18908876700141"/>
    <n v="24824.319905748063"/>
    <n v="39814.720000000001"/>
    <n v="-14990.400094251938"/>
    <n v="-650.5367761316503"/>
    <n v="-15640.936870383588"/>
    <n v="0"/>
    <n v="0"/>
    <n v="0"/>
    <n v="-15640.936870383588"/>
  </r>
  <r>
    <x v="6"/>
    <d v="2019-08-05T00:00:00"/>
    <d v="2019-08-20T00:00:00"/>
    <x v="4"/>
    <n v="9"/>
    <n v="47"/>
    <n v="904.88"/>
    <n v="564.18908876700141"/>
    <n v="26516.887172049068"/>
    <n v="42529.36"/>
    <n v="-16012.472827950933"/>
    <n v="-694.89155632244467"/>
    <n v="-16707.364384273376"/>
    <n v="0"/>
    <n v="0"/>
    <n v="0"/>
    <n v="-16707.364384273376"/>
  </r>
  <r>
    <x v="7"/>
    <d v="2019-09-04T00:00:00"/>
    <d v="2019-09-19T00:00:00"/>
    <x v="4"/>
    <n v="9"/>
    <n v="50"/>
    <n v="798.4"/>
    <n v="564.18908876700141"/>
    <n v="28209.454438350069"/>
    <n v="39920"/>
    <n v="-11710.545561649931"/>
    <n v="-739.24633651323904"/>
    <n v="-12449.79189816317"/>
    <n v="0"/>
    <n v="0"/>
    <n v="0"/>
    <n v="-12449.79189816317"/>
  </r>
  <r>
    <x v="8"/>
    <d v="2019-10-03T00:00:00"/>
    <d v="2019-10-18T00:00:00"/>
    <x v="4"/>
    <n v="9"/>
    <n v="45"/>
    <n v="798.4"/>
    <n v="564.18908876700141"/>
    <n v="25388.508994515065"/>
    <n v="35928"/>
    <n v="-10539.491005484935"/>
    <n v="-665.32170286191513"/>
    <n v="-11204.81270834685"/>
    <n v="0"/>
    <n v="0"/>
    <n v="0"/>
    <n v="-11204.81270834685"/>
  </r>
  <r>
    <x v="9"/>
    <d v="2019-11-05T00:00:00"/>
    <d v="2019-11-20T00:00:00"/>
    <x v="4"/>
    <n v="9"/>
    <n v="37"/>
    <n v="798.4"/>
    <n v="564.18908876700141"/>
    <n v="20874.996284379053"/>
    <n v="29540.799999999999"/>
    <n v="-8665.8037156209466"/>
    <n v="-547.04228901979684"/>
    <n v="-9212.8460046407436"/>
    <n v="0"/>
    <n v="0"/>
    <n v="0"/>
    <n v="-9212.8460046407436"/>
  </r>
  <r>
    <x v="10"/>
    <d v="2019-12-04T00:00:00"/>
    <d v="2019-12-19T00:00:00"/>
    <x v="4"/>
    <n v="9"/>
    <n v="38"/>
    <n v="798.4"/>
    <n v="564.18908876700141"/>
    <n v="21439.185373146054"/>
    <n v="30339.200000000001"/>
    <n v="-8900.0146268539465"/>
    <n v="-561.82721575006167"/>
    <n v="-9461.841842604008"/>
    <n v="0"/>
    <n v="0"/>
    <n v="0"/>
    <n v="-9461.841842604008"/>
  </r>
  <r>
    <x v="11"/>
    <d v="2020-01-03T00:00:00"/>
    <d v="2020-01-20T00:00:00"/>
    <x v="4"/>
    <n v="9"/>
    <n v="38"/>
    <n v="798.4"/>
    <n v="564.18908876700141"/>
    <n v="21439.185373146054"/>
    <n v="30339.200000000001"/>
    <n v="-8900.0146268539465"/>
    <n v="-561.82721575006167"/>
    <n v="-9461.841842604008"/>
    <n v="0"/>
    <n v="0"/>
    <n v="0"/>
    <n v="-9461.841842604008"/>
  </r>
  <r>
    <x v="0"/>
    <d v="2019-02-05T00:00:00"/>
    <d v="2019-02-20T00:00:00"/>
    <x v="5"/>
    <n v="9"/>
    <n v="40"/>
    <n v="904.88"/>
    <n v="564.18908876700141"/>
    <n v="22567.563550680057"/>
    <n v="36195.199999999997"/>
    <n v="-13627.63644931994"/>
    <n v="-591.39706921059121"/>
    <n v="-14219.03351853053"/>
    <n v="0"/>
    <n v="0"/>
    <n v="0"/>
    <n v="-14219.03351853053"/>
  </r>
  <r>
    <x v="1"/>
    <d v="2019-03-05T00:00:00"/>
    <d v="2019-03-20T00:00:00"/>
    <x v="5"/>
    <n v="9"/>
    <n v="40"/>
    <n v="904.88"/>
    <n v="564.18908876700141"/>
    <n v="22567.563550680057"/>
    <n v="36195.199999999997"/>
    <n v="-13627.63644931994"/>
    <n v="-591.39706921059121"/>
    <n v="-14219.03351853053"/>
    <n v="0"/>
    <n v="0"/>
    <n v="0"/>
    <n v="-14219.03351853053"/>
  </r>
  <r>
    <x v="2"/>
    <d v="2019-04-03T00:00:00"/>
    <d v="2019-04-18T00:00:00"/>
    <x v="5"/>
    <n v="9"/>
    <n v="43"/>
    <n v="904.88"/>
    <n v="564.18908876700141"/>
    <n v="24260.130816981062"/>
    <n v="38909.839999999997"/>
    <n v="-14649.709183018935"/>
    <n v="-635.75184940138558"/>
    <n v="-15285.46103242032"/>
    <n v="0"/>
    <n v="0"/>
    <n v="0"/>
    <n v="-15285.46103242032"/>
  </r>
  <r>
    <x v="3"/>
    <d v="2019-05-03T00:00:00"/>
    <d v="2019-05-20T00:00:00"/>
    <x v="5"/>
    <n v="9"/>
    <n v="27"/>
    <n v="904.88"/>
    <n v="564.18908876700141"/>
    <n v="15233.105396709037"/>
    <n v="24431.759999999998"/>
    <n v="-9198.6546032909609"/>
    <n v="-399.19302171714912"/>
    <n v="-9597.8476250081094"/>
    <n v="0"/>
    <n v="0"/>
    <n v="0"/>
    <n v="-9597.8476250081094"/>
  </r>
  <r>
    <x v="4"/>
    <d v="2019-06-05T00:00:00"/>
    <d v="2019-06-20T00:00:00"/>
    <x v="5"/>
    <n v="9"/>
    <n v="33"/>
    <n v="904.88"/>
    <n v="564.18908876700141"/>
    <n v="18618.239929311047"/>
    <n v="29861.040000000001"/>
    <n v="-11242.800070688954"/>
    <n v="-487.90258209873775"/>
    <n v="-11730.702652787691"/>
    <n v="0"/>
    <n v="0"/>
    <n v="0"/>
    <n v="-11730.702652787691"/>
  </r>
  <r>
    <x v="5"/>
    <d v="2019-07-03T00:00:00"/>
    <d v="2019-07-18T00:00:00"/>
    <x v="5"/>
    <n v="9"/>
    <n v="39"/>
    <n v="904.88"/>
    <n v="564.18908876700141"/>
    <n v="22003.374461913056"/>
    <n v="35290.32"/>
    <n v="-13286.945538086944"/>
    <n v="-576.6121424803265"/>
    <n v="-13863.55768056727"/>
    <n v="0"/>
    <n v="0"/>
    <n v="0"/>
    <n v="-13863.55768056727"/>
  </r>
  <r>
    <x v="6"/>
    <d v="2019-08-05T00:00:00"/>
    <d v="2019-08-20T00:00:00"/>
    <x v="5"/>
    <n v="9"/>
    <n v="39"/>
    <n v="904.88"/>
    <n v="564.18908876700141"/>
    <n v="22003.374461913056"/>
    <n v="35290.32"/>
    <n v="-13286.945538086944"/>
    <n v="-576.6121424803265"/>
    <n v="-13863.55768056727"/>
    <n v="0"/>
    <n v="0"/>
    <n v="0"/>
    <n v="-13863.55768056727"/>
  </r>
  <r>
    <x v="7"/>
    <d v="2019-09-04T00:00:00"/>
    <d v="2019-09-19T00:00:00"/>
    <x v="5"/>
    <n v="9"/>
    <n v="43"/>
    <n v="798.4"/>
    <n v="564.18908876700141"/>
    <n v="24260.130816981062"/>
    <n v="34331.199999999997"/>
    <n v="-10071.069183018935"/>
    <n v="-635.75184940138558"/>
    <n v="-10706.821032420321"/>
    <n v="0"/>
    <n v="0"/>
    <n v="0"/>
    <n v="-10706.821032420321"/>
  </r>
  <r>
    <x v="8"/>
    <d v="2019-10-03T00:00:00"/>
    <d v="2019-10-18T00:00:00"/>
    <x v="5"/>
    <n v="9"/>
    <n v="40"/>
    <n v="798.4"/>
    <n v="564.18908876700141"/>
    <n v="22567.563550680057"/>
    <n v="31936"/>
    <n v="-9368.4364493199428"/>
    <n v="-591.39706921059121"/>
    <n v="-9959.8335185305332"/>
    <n v="0"/>
    <n v="0"/>
    <n v="0"/>
    <n v="-9959.8335185305332"/>
  </r>
  <r>
    <x v="9"/>
    <d v="2019-11-05T00:00:00"/>
    <d v="2019-11-20T00:00:00"/>
    <x v="5"/>
    <n v="9"/>
    <n v="30"/>
    <n v="798.4"/>
    <n v="564.18908876700141"/>
    <n v="16925.672663010042"/>
    <n v="23952"/>
    <n v="-7026.327336989958"/>
    <n v="-443.54780190794344"/>
    <n v="-7469.8751388979017"/>
    <n v="0"/>
    <n v="0"/>
    <n v="0"/>
    <n v="-7469.8751388979017"/>
  </r>
  <r>
    <x v="10"/>
    <d v="2019-12-04T00:00:00"/>
    <d v="2019-12-19T00:00:00"/>
    <x v="5"/>
    <n v="9"/>
    <n v="37"/>
    <n v="798.4"/>
    <n v="564.18908876700141"/>
    <n v="20874.996284379053"/>
    <n v="29540.799999999999"/>
    <n v="-8665.8037156209466"/>
    <n v="-547.04228901979684"/>
    <n v="-9212.8460046407436"/>
    <n v="0"/>
    <n v="0"/>
    <n v="0"/>
    <n v="-9212.8460046407436"/>
  </r>
  <r>
    <x v="11"/>
    <d v="2020-01-03T00:00:00"/>
    <d v="2020-01-20T00:00:00"/>
    <x v="5"/>
    <n v="9"/>
    <n v="41"/>
    <n v="798.4"/>
    <n v="564.18908876700141"/>
    <n v="23131.752639447059"/>
    <n v="32734.399999999998"/>
    <n v="-9602.6473605529391"/>
    <n v="-606.18199594085604"/>
    <n v="-10208.829356493796"/>
    <n v="0"/>
    <n v="0"/>
    <n v="0"/>
    <n v="-10208.829356493796"/>
  </r>
  <r>
    <x v="0"/>
    <d v="2019-02-05T00:00:00"/>
    <d v="2019-02-20T00:00:00"/>
    <x v="6"/>
    <n v="9"/>
    <n v="76"/>
    <n v="904.88"/>
    <n v="564.18908876700141"/>
    <n v="42878.370746292108"/>
    <n v="68770.880000000005"/>
    <n v="-25892.509253707896"/>
    <n v="-1123.6544315001233"/>
    <n v="-27016.163685208019"/>
    <n v="0"/>
    <n v="0"/>
    <n v="0"/>
    <n v="-27016.163685208019"/>
  </r>
  <r>
    <x v="1"/>
    <d v="2019-03-05T00:00:00"/>
    <d v="2019-03-20T00:00:00"/>
    <x v="6"/>
    <n v="9"/>
    <n v="85"/>
    <n v="904.88"/>
    <n v="564.18908876700141"/>
    <n v="47956.072545195122"/>
    <n v="76914.8"/>
    <n v="-28958.727454804881"/>
    <n v="-1256.7187720725065"/>
    <n v="-30215.446226877386"/>
    <n v="0"/>
    <n v="0"/>
    <n v="0"/>
    <n v="-30215.446226877386"/>
  </r>
  <r>
    <x v="2"/>
    <d v="2019-04-03T00:00:00"/>
    <d v="2019-04-18T00:00:00"/>
    <x v="6"/>
    <n v="9"/>
    <n v="86"/>
    <n v="904.88"/>
    <n v="564.18908876700141"/>
    <n v="48520.261633962124"/>
    <n v="77819.679999999993"/>
    <n v="-29299.418366037869"/>
    <n v="-1271.5036988027712"/>
    <n v="-30570.922064840641"/>
    <n v="0"/>
    <n v="0"/>
    <n v="0"/>
    <n v="-30570.922064840641"/>
  </r>
  <r>
    <x v="3"/>
    <d v="2019-05-03T00:00:00"/>
    <d v="2019-05-20T00:00:00"/>
    <x v="6"/>
    <n v="9"/>
    <n v="78"/>
    <n v="904.88"/>
    <n v="564.18908876700141"/>
    <n v="44006.748923826111"/>
    <n v="70580.639999999999"/>
    <n v="-26573.891076173888"/>
    <n v="-1153.224284960653"/>
    <n v="-27727.11536113454"/>
    <n v="0"/>
    <n v="0"/>
    <n v="0"/>
    <n v="-27727.11536113454"/>
  </r>
  <r>
    <x v="4"/>
    <d v="2019-06-05T00:00:00"/>
    <d v="2019-06-20T00:00:00"/>
    <x v="6"/>
    <n v="9"/>
    <n v="92"/>
    <n v="904.88"/>
    <n v="564.18908876700141"/>
    <n v="51905.396166564133"/>
    <n v="83248.960000000006"/>
    <n v="-31343.563833435874"/>
    <n v="-1360.2132591843597"/>
    <n v="-32703.777092620232"/>
    <n v="0"/>
    <n v="0"/>
    <n v="0"/>
    <n v="-32703.777092620232"/>
  </r>
  <r>
    <x v="5"/>
    <d v="2019-07-03T00:00:00"/>
    <d v="2019-07-18T00:00:00"/>
    <x v="6"/>
    <n v="9"/>
    <n v="138"/>
    <n v="904.88"/>
    <n v="564.18908876700141"/>
    <n v="77858.094249846195"/>
    <n v="124873.44"/>
    <n v="-47015.345750153807"/>
    <n v="-2040.3198887765395"/>
    <n v="-49055.665638930346"/>
    <n v="0"/>
    <n v="0"/>
    <n v="0"/>
    <n v="-49055.665638930346"/>
  </r>
  <r>
    <x v="6"/>
    <d v="2019-08-05T00:00:00"/>
    <d v="2019-08-20T00:00:00"/>
    <x v="6"/>
    <n v="9"/>
    <n v="147"/>
    <n v="904.88"/>
    <n v="564.18908876700141"/>
    <n v="82935.796048749209"/>
    <n v="133017.35999999999"/>
    <n v="-50081.563951250777"/>
    <n v="-2173.3842293489229"/>
    <n v="-52254.948180599698"/>
    <n v="0"/>
    <n v="0"/>
    <n v="0"/>
    <n v="-52254.948180599698"/>
  </r>
  <r>
    <x v="7"/>
    <d v="2019-09-04T00:00:00"/>
    <d v="2019-09-19T00:00:00"/>
    <x v="6"/>
    <n v="9"/>
    <n v="156"/>
    <n v="798.4"/>
    <n v="564.18908876700141"/>
    <n v="88013.497847652223"/>
    <n v="124550.39999999999"/>
    <n v="-36536.902152347771"/>
    <n v="-2306.448569921306"/>
    <n v="-38843.350722269075"/>
    <n v="0"/>
    <n v="0"/>
    <n v="0"/>
    <n v="-38843.350722269075"/>
  </r>
  <r>
    <x v="8"/>
    <d v="2019-10-03T00:00:00"/>
    <d v="2019-10-18T00:00:00"/>
    <x v="6"/>
    <n v="9"/>
    <n v="140"/>
    <n v="798.4"/>
    <n v="564.18908876700141"/>
    <n v="78986.472427380198"/>
    <n v="111776"/>
    <n v="-32789.527572619802"/>
    <n v="-2069.8897422370692"/>
    <n v="-34859.417314856873"/>
    <n v="0"/>
    <n v="0"/>
    <n v="0"/>
    <n v="-34859.417314856873"/>
  </r>
  <r>
    <x v="9"/>
    <d v="2019-11-05T00:00:00"/>
    <d v="2019-11-20T00:00:00"/>
    <x v="6"/>
    <n v="9"/>
    <n v="125"/>
    <n v="798.4"/>
    <n v="564.18908876700141"/>
    <n v="70523.636095875176"/>
    <n v="99800"/>
    <n v="-29276.363904124824"/>
    <n v="-1848.1158412830978"/>
    <n v="-31124.479745407923"/>
    <n v="0"/>
    <n v="0"/>
    <n v="0"/>
    <n v="-31124.479745407923"/>
  </r>
  <r>
    <x v="10"/>
    <d v="2019-12-04T00:00:00"/>
    <d v="2019-12-19T00:00:00"/>
    <x v="6"/>
    <n v="9"/>
    <n v="79"/>
    <n v="798.4"/>
    <n v="564.18908876700141"/>
    <n v="44570.938012593113"/>
    <n v="63073.599999999999"/>
    <n v="-18502.661987406886"/>
    <n v="-1168.0092116909175"/>
    <n v="-19670.671199097804"/>
    <n v="0"/>
    <n v="0"/>
    <n v="0"/>
    <n v="-19670.671199097804"/>
  </r>
  <r>
    <x v="11"/>
    <d v="2020-01-03T00:00:00"/>
    <d v="2020-01-20T00:00:00"/>
    <x v="6"/>
    <n v="9"/>
    <n v="81"/>
    <n v="798.4"/>
    <n v="564.18908876700141"/>
    <n v="45699.316190127116"/>
    <n v="64670.400000000001"/>
    <n v="-18971.083809872885"/>
    <n v="-1197.5790651514471"/>
    <n v="-20168.662875024333"/>
    <n v="0"/>
    <n v="0"/>
    <n v="0"/>
    <n v="-20168.662875024333"/>
  </r>
  <r>
    <x v="0"/>
    <d v="2019-02-05T00:00:00"/>
    <d v="2019-02-20T00:00:00"/>
    <x v="7"/>
    <n v="9"/>
    <n v="43"/>
    <n v="904.88"/>
    <n v="564.18908876700141"/>
    <n v="24260.130816981062"/>
    <n v="38909.839999999997"/>
    <n v="-14649.709183018935"/>
    <n v="-635.75184940138558"/>
    <n v="-15285.46103242032"/>
    <n v="0"/>
    <n v="0"/>
    <n v="0"/>
    <n v="-15285.46103242032"/>
  </r>
  <r>
    <x v="1"/>
    <d v="2019-03-05T00:00:00"/>
    <d v="2019-03-20T00:00:00"/>
    <x v="7"/>
    <n v="9"/>
    <n v="37"/>
    <n v="904.88"/>
    <n v="564.18908876700141"/>
    <n v="20874.996284379053"/>
    <n v="33480.559999999998"/>
    <n v="-12605.563715620945"/>
    <n v="-547.04228901979684"/>
    <n v="-13152.606004640742"/>
    <n v="0"/>
    <n v="0"/>
    <n v="0"/>
    <n v="-13152.606004640742"/>
  </r>
  <r>
    <x v="2"/>
    <d v="2019-04-03T00:00:00"/>
    <d v="2019-04-18T00:00:00"/>
    <x v="7"/>
    <n v="9"/>
    <n v="40"/>
    <n v="904.88"/>
    <n v="564.18908876700141"/>
    <n v="22567.563550680057"/>
    <n v="36195.199999999997"/>
    <n v="-13627.63644931994"/>
    <n v="-591.39706921059121"/>
    <n v="-14219.03351853053"/>
    <n v="0"/>
    <n v="0"/>
    <n v="0"/>
    <n v="-14219.03351853053"/>
  </r>
  <r>
    <x v="3"/>
    <d v="2019-05-03T00:00:00"/>
    <d v="2019-05-20T00:00:00"/>
    <x v="7"/>
    <n v="9"/>
    <n v="36"/>
    <n v="904.88"/>
    <n v="564.18908876700141"/>
    <n v="20310.807195612051"/>
    <n v="32575.68"/>
    <n v="-12264.872804387949"/>
    <n v="-532.25736228953213"/>
    <n v="-12797.130166677482"/>
    <n v="0"/>
    <n v="0"/>
    <n v="0"/>
    <n v="-12797.130166677482"/>
  </r>
  <r>
    <x v="4"/>
    <d v="2019-06-05T00:00:00"/>
    <d v="2019-06-20T00:00:00"/>
    <x v="7"/>
    <n v="9"/>
    <n v="41"/>
    <n v="904.88"/>
    <n v="564.18908876700141"/>
    <n v="23131.752639447059"/>
    <n v="37100.080000000002"/>
    <n v="-13968.327360552943"/>
    <n v="-606.18199594085604"/>
    <n v="-14574.5093564938"/>
    <n v="0"/>
    <n v="0"/>
    <n v="0"/>
    <n v="-14574.5093564938"/>
  </r>
  <r>
    <x v="5"/>
    <d v="2019-07-03T00:00:00"/>
    <d v="2019-07-18T00:00:00"/>
    <x v="7"/>
    <n v="9"/>
    <n v="40"/>
    <n v="904.88"/>
    <n v="564.18908876700141"/>
    <n v="22567.563550680057"/>
    <n v="36195.199999999997"/>
    <n v="-13627.63644931994"/>
    <n v="-591.39706921059121"/>
    <n v="-14219.03351853053"/>
    <n v="0"/>
    <n v="0"/>
    <n v="0"/>
    <n v="-14219.03351853053"/>
  </r>
  <r>
    <x v="6"/>
    <d v="2019-08-05T00:00:00"/>
    <d v="2019-08-20T00:00:00"/>
    <x v="7"/>
    <n v="9"/>
    <n v="46"/>
    <n v="904.88"/>
    <n v="564.18908876700141"/>
    <n v="25952.698083282066"/>
    <n v="41624.480000000003"/>
    <n v="-15671.781916717937"/>
    <n v="-680.10662959217984"/>
    <n v="-16351.888546310116"/>
    <n v="0"/>
    <n v="0"/>
    <n v="0"/>
    <n v="-16351.888546310116"/>
  </r>
  <r>
    <x v="7"/>
    <d v="2019-09-04T00:00:00"/>
    <d v="2019-09-19T00:00:00"/>
    <x v="7"/>
    <n v="9"/>
    <n v="47"/>
    <n v="798.4"/>
    <n v="564.18908876700141"/>
    <n v="26516.887172049068"/>
    <n v="37524.799999999996"/>
    <n v="-11007.912827950928"/>
    <n v="-694.89155632244467"/>
    <n v="-11702.804384273373"/>
    <n v="0"/>
    <n v="0"/>
    <n v="0"/>
    <n v="-11702.804384273373"/>
  </r>
  <r>
    <x v="8"/>
    <d v="2019-10-03T00:00:00"/>
    <d v="2019-10-18T00:00:00"/>
    <x v="7"/>
    <n v="9"/>
    <n v="45"/>
    <n v="798.4"/>
    <n v="564.18908876700141"/>
    <n v="25388.508994515065"/>
    <n v="35928"/>
    <n v="-10539.491005484935"/>
    <n v="-665.32170286191513"/>
    <n v="-11204.81270834685"/>
    <n v="0"/>
    <n v="0"/>
    <n v="0"/>
    <n v="-11204.81270834685"/>
  </r>
  <r>
    <x v="9"/>
    <d v="2019-11-05T00:00:00"/>
    <d v="2019-11-20T00:00:00"/>
    <x v="7"/>
    <n v="9"/>
    <n v="42"/>
    <n v="798.4"/>
    <n v="564.18908876700141"/>
    <n v="23695.94172821406"/>
    <n v="33532.799999999996"/>
    <n v="-9836.8582717859354"/>
    <n v="-620.96692267112076"/>
    <n v="-10457.825194457057"/>
    <n v="0"/>
    <n v="0"/>
    <n v="0"/>
    <n v="-10457.825194457057"/>
  </r>
  <r>
    <x v="10"/>
    <d v="2019-12-04T00:00:00"/>
    <d v="2019-12-19T00:00:00"/>
    <x v="7"/>
    <n v="9"/>
    <n v="43"/>
    <n v="798.4"/>
    <n v="564.18908876700141"/>
    <n v="24260.130816981062"/>
    <n v="34331.199999999997"/>
    <n v="-10071.069183018935"/>
    <n v="-635.75184940138558"/>
    <n v="-10706.821032420321"/>
    <n v="0"/>
    <n v="0"/>
    <n v="0"/>
    <n v="-10706.821032420321"/>
  </r>
  <r>
    <x v="11"/>
    <d v="2020-01-03T00:00:00"/>
    <d v="2020-01-20T00:00:00"/>
    <x v="7"/>
    <n v="9"/>
    <n v="38"/>
    <n v="798.4"/>
    <n v="564.18908876700141"/>
    <n v="21439.185373146054"/>
    <n v="30339.200000000001"/>
    <n v="-8900.0146268539465"/>
    <n v="-561.82721575006167"/>
    <n v="-9461.841842604008"/>
    <n v="0"/>
    <n v="0"/>
    <n v="0"/>
    <n v="-9461.841842604008"/>
  </r>
  <r>
    <x v="0"/>
    <d v="2019-02-05T00:00:00"/>
    <d v="2019-02-20T00:00:00"/>
    <x v="8"/>
    <n v="9"/>
    <n v="988"/>
    <n v="904.88"/>
    <n v="564.18908876700141"/>
    <n v="557418.81970179745"/>
    <n v="894021.44"/>
    <n v="-336602.6202982025"/>
    <n v="-14607.507609501603"/>
    <n v="-351210.1279077041"/>
    <n v="0"/>
    <n v="0"/>
    <n v="0"/>
    <n v="-351210.1279077041"/>
  </r>
  <r>
    <x v="1"/>
    <d v="2019-03-05T00:00:00"/>
    <d v="2019-03-20T00:00:00"/>
    <x v="8"/>
    <n v="9"/>
    <n v="951"/>
    <n v="904.88"/>
    <n v="564.18908876700141"/>
    <n v="536543.82341741829"/>
    <n v="860540.88"/>
    <n v="-323997.05658258172"/>
    <n v="-14060.465320481808"/>
    <n v="-338057.52190306352"/>
    <n v="0"/>
    <n v="0"/>
    <n v="0"/>
    <n v="-338057.52190306352"/>
  </r>
  <r>
    <x v="2"/>
    <d v="2019-04-03T00:00:00"/>
    <d v="2019-04-18T00:00:00"/>
    <x v="8"/>
    <n v="9"/>
    <n v="1055"/>
    <n v="904.88"/>
    <n v="564.18908876700141"/>
    <n v="595219.48864918645"/>
    <n v="954648.4"/>
    <n v="-359428.91135081358"/>
    <n v="-15598.097700429345"/>
    <n v="-375027.0090512429"/>
    <n v="0"/>
    <n v="0"/>
    <n v="0"/>
    <n v="-375027.0090512429"/>
  </r>
  <r>
    <x v="3"/>
    <d v="2019-05-03T00:00:00"/>
    <d v="2019-05-20T00:00:00"/>
    <x v="8"/>
    <n v="9"/>
    <n v="514"/>
    <n v="904.88"/>
    <n v="564.18908876700141"/>
    <n v="289993.19162623869"/>
    <n v="465108.32"/>
    <n v="-175115.12837376131"/>
    <n v="-7599.4523393560976"/>
    <n v="-182714.58071311741"/>
    <n v="0"/>
    <n v="0"/>
    <n v="0"/>
    <n v="-182714.58071311741"/>
  </r>
  <r>
    <x v="4"/>
    <d v="2019-06-05T00:00:00"/>
    <d v="2019-06-20T00:00:00"/>
    <x v="8"/>
    <n v="9"/>
    <n v="701"/>
    <n v="904.88"/>
    <n v="564.18908876700141"/>
    <n v="395496.55122566799"/>
    <n v="634320.88"/>
    <n v="-238824.32877433201"/>
    <n v="-10364.233637915611"/>
    <n v="-249188.56241224761"/>
    <n v="0"/>
    <n v="0"/>
    <n v="0"/>
    <n v="-249188.56241224761"/>
  </r>
  <r>
    <x v="5"/>
    <d v="2019-07-03T00:00:00"/>
    <d v="2019-07-18T00:00:00"/>
    <x v="8"/>
    <n v="9"/>
    <n v="822"/>
    <n v="904.88"/>
    <n v="564.18908876700141"/>
    <n v="463763.43096647516"/>
    <n v="743811.36"/>
    <n v="-280047.92903352482"/>
    <n v="-12153.209772277649"/>
    <n v="-292201.13880580245"/>
    <n v="0"/>
    <n v="0"/>
    <n v="0"/>
    <n v="-292201.13880580245"/>
  </r>
  <r>
    <x v="6"/>
    <d v="2019-08-05T00:00:00"/>
    <d v="2019-08-20T00:00:00"/>
    <x v="8"/>
    <n v="9"/>
    <n v="868"/>
    <n v="904.88"/>
    <n v="564.18908876700141"/>
    <n v="489716.1290497572"/>
    <n v="785435.84"/>
    <n v="-295719.71095024276"/>
    <n v="-12833.31640186983"/>
    <n v="-308553.02735211258"/>
    <n v="0"/>
    <n v="0"/>
    <n v="0"/>
    <n v="-308553.02735211258"/>
  </r>
  <r>
    <x v="7"/>
    <d v="2019-09-04T00:00:00"/>
    <d v="2019-09-19T00:00:00"/>
    <x v="8"/>
    <n v="9"/>
    <n v="933"/>
    <n v="798.4"/>
    <n v="564.18908876700141"/>
    <n v="526388.41981961229"/>
    <n v="744907.2"/>
    <n v="-218518.78018038766"/>
    <n v="-13794.336639337042"/>
    <n v="-232313.1168197247"/>
    <n v="0"/>
    <n v="0"/>
    <n v="0"/>
    <n v="-232313.1168197247"/>
  </r>
  <r>
    <x v="8"/>
    <d v="2019-10-03T00:00:00"/>
    <d v="2019-10-18T00:00:00"/>
    <x v="8"/>
    <n v="9"/>
    <n v="890"/>
    <n v="798.4"/>
    <n v="564.18908876700141"/>
    <n v="502128.28900263127"/>
    <n v="710576"/>
    <n v="-208447.71099736873"/>
    <n v="-13158.584789935654"/>
    <n v="-221606.29578730438"/>
    <n v="0"/>
    <n v="0"/>
    <n v="0"/>
    <n v="-221606.29578730438"/>
  </r>
  <r>
    <x v="9"/>
    <d v="2019-11-05T00:00:00"/>
    <d v="2019-11-20T00:00:00"/>
    <x v="8"/>
    <n v="9"/>
    <n v="798"/>
    <n v="798.4"/>
    <n v="564.18908876700141"/>
    <n v="450222.89283606713"/>
    <n v="637123.19999999995"/>
    <n v="-186900.30716393283"/>
    <n v="-11798.371530751294"/>
    <n v="-198698.67869468412"/>
    <n v="0"/>
    <n v="0"/>
    <n v="0"/>
    <n v="-198698.67869468412"/>
  </r>
  <r>
    <x v="10"/>
    <d v="2019-12-04T00:00:00"/>
    <d v="2019-12-19T00:00:00"/>
    <x v="8"/>
    <n v="9"/>
    <n v="1050"/>
    <n v="798.4"/>
    <n v="564.18908876700141"/>
    <n v="592398.54320535145"/>
    <n v="838320"/>
    <n v="-245921.45679464855"/>
    <n v="-15524.173066778018"/>
    <n v="-261445.62986142657"/>
    <n v="0"/>
    <n v="0"/>
    <n v="0"/>
    <n v="-261445.62986142657"/>
  </r>
  <r>
    <x v="11"/>
    <d v="2020-01-03T00:00:00"/>
    <d v="2020-01-20T00:00:00"/>
    <x v="8"/>
    <n v="9"/>
    <n v="996"/>
    <n v="798.4"/>
    <n v="564.18908876700141"/>
    <n v="561932.33241193346"/>
    <n v="795206.4"/>
    <n v="-233274.06758806657"/>
    <n v="-14725.787023343722"/>
    <n v="-247999.85461141029"/>
    <n v="0"/>
    <n v="0"/>
    <n v="0"/>
    <n v="-247999.85461141029"/>
  </r>
  <r>
    <x v="0"/>
    <d v="2019-02-05T00:00:00"/>
    <d v="2019-02-20T00:00:00"/>
    <x v="9"/>
    <n v="9"/>
    <n v="7"/>
    <n v="904.88"/>
    <n v="564.18908876700141"/>
    <n v="3949.3236213690097"/>
    <n v="6334.16"/>
    <n v="-2384.8363786309901"/>
    <n v="-103.49448711185347"/>
    <n v="-2488.3308657428438"/>
    <n v="0"/>
    <n v="0"/>
    <n v="0"/>
    <n v="-2488.3308657428438"/>
  </r>
  <r>
    <x v="1"/>
    <d v="2019-03-05T00:00:00"/>
    <d v="2019-03-20T00:00:00"/>
    <x v="9"/>
    <n v="9"/>
    <n v="8"/>
    <n v="904.88"/>
    <n v="564.18908876700141"/>
    <n v="4513.5127101360113"/>
    <n v="7239.04"/>
    <n v="-2725.5272898639887"/>
    <n v="-118.27941384211825"/>
    <n v="-2843.8067037061069"/>
    <n v="0"/>
    <n v="0"/>
    <n v="0"/>
    <n v="-2843.8067037061069"/>
  </r>
  <r>
    <x v="2"/>
    <d v="2019-04-03T00:00:00"/>
    <d v="2019-04-18T00:00:00"/>
    <x v="9"/>
    <n v="9"/>
    <n v="6"/>
    <n v="904.88"/>
    <n v="564.18908876700141"/>
    <n v="3385.1345326020082"/>
    <n v="5429.28"/>
    <n v="-2044.1454673979915"/>
    <n v="-88.709560381588688"/>
    <n v="-2132.8550277795803"/>
    <n v="0"/>
    <n v="0"/>
    <n v="0"/>
    <n v="-2132.8550277795803"/>
  </r>
  <r>
    <x v="3"/>
    <d v="2019-05-03T00:00:00"/>
    <d v="2019-05-20T00:00:00"/>
    <x v="9"/>
    <n v="9"/>
    <n v="5"/>
    <n v="904.88"/>
    <n v="564.18908876700141"/>
    <n v="2820.9454438350072"/>
    <n v="4524.3999999999996"/>
    <n v="-1703.4545561649925"/>
    <n v="-73.924633651323902"/>
    <n v="-1777.3791898163163"/>
    <n v="0"/>
    <n v="0"/>
    <n v="0"/>
    <n v="-1777.3791898163163"/>
  </r>
  <r>
    <x v="4"/>
    <d v="2019-06-05T00:00:00"/>
    <d v="2019-06-20T00:00:00"/>
    <x v="9"/>
    <n v="9"/>
    <n v="4"/>
    <n v="904.88"/>
    <n v="564.18908876700141"/>
    <n v="2256.7563550680056"/>
    <n v="3619.52"/>
    <n v="-1362.7636449319943"/>
    <n v="-59.139706921059123"/>
    <n v="-1421.9033518530534"/>
    <n v="0"/>
    <n v="0"/>
    <n v="0"/>
    <n v="-1421.9033518530534"/>
  </r>
  <r>
    <x v="5"/>
    <d v="2019-07-03T00:00:00"/>
    <d v="2019-07-18T00:00:00"/>
    <x v="9"/>
    <n v="9"/>
    <n v="7"/>
    <n v="904.88"/>
    <n v="564.18908876700141"/>
    <n v="3949.3236213690097"/>
    <n v="6334.16"/>
    <n v="-2384.8363786309901"/>
    <n v="-103.49448711185347"/>
    <n v="-2488.3308657428438"/>
    <n v="0"/>
    <n v="0"/>
    <n v="0"/>
    <n v="-2488.3308657428438"/>
  </r>
  <r>
    <x v="6"/>
    <d v="2019-08-05T00:00:00"/>
    <d v="2019-08-20T00:00:00"/>
    <x v="9"/>
    <n v="9"/>
    <n v="17"/>
    <n v="904.88"/>
    <n v="564.18908876700141"/>
    <n v="9591.2145090390241"/>
    <n v="15382.96"/>
    <n v="-5791.7454909609751"/>
    <n v="-251.34375441450126"/>
    <n v="-6043.0892453754759"/>
    <n v="0"/>
    <n v="0"/>
    <n v="0"/>
    <n v="-6043.0892453754759"/>
  </r>
  <r>
    <x v="7"/>
    <d v="2019-09-04T00:00:00"/>
    <d v="2019-09-19T00:00:00"/>
    <x v="9"/>
    <n v="9"/>
    <n v="17"/>
    <n v="798.4"/>
    <n v="564.18908876700141"/>
    <n v="9591.2145090390241"/>
    <n v="13572.8"/>
    <n v="-3981.5854909609752"/>
    <n v="-251.34375441450126"/>
    <n v="-4232.9292453754761"/>
    <n v="0"/>
    <n v="0"/>
    <n v="0"/>
    <n v="-4232.9292453754761"/>
  </r>
  <r>
    <x v="8"/>
    <d v="2019-10-03T00:00:00"/>
    <d v="2019-10-18T00:00:00"/>
    <x v="9"/>
    <n v="9"/>
    <n v="13"/>
    <n v="798.4"/>
    <n v="564.18908876700141"/>
    <n v="7334.458153971018"/>
    <n v="10379.199999999999"/>
    <n v="-3044.7418460289809"/>
    <n v="-192.20404749344218"/>
    <n v="-3236.9458935224229"/>
    <n v="0"/>
    <n v="0"/>
    <n v="0"/>
    <n v="-3236.9458935224229"/>
  </r>
  <r>
    <x v="9"/>
    <d v="2019-11-05T00:00:00"/>
    <d v="2019-11-20T00:00:00"/>
    <x v="9"/>
    <n v="9"/>
    <n v="5"/>
    <n v="798.4"/>
    <n v="564.18908876700141"/>
    <n v="2820.9454438350072"/>
    <n v="3992"/>
    <n v="-1171.0545561649928"/>
    <n v="-73.924633651323902"/>
    <n v="-1244.9791898163166"/>
    <n v="0"/>
    <n v="0"/>
    <n v="0"/>
    <n v="-1244.9791898163166"/>
  </r>
  <r>
    <x v="10"/>
    <d v="2019-12-04T00:00:00"/>
    <d v="2019-12-19T00:00:00"/>
    <x v="9"/>
    <n v="9"/>
    <n v="7"/>
    <n v="798.4"/>
    <n v="564.18908876700141"/>
    <n v="3949.3236213690097"/>
    <n v="5588.8"/>
    <n v="-1639.4763786309904"/>
    <n v="-103.49448711185347"/>
    <n v="-1742.9708657428439"/>
    <n v="0"/>
    <n v="0"/>
    <n v="0"/>
    <n v="-1742.9708657428439"/>
  </r>
  <r>
    <x v="11"/>
    <d v="2020-01-03T00:00:00"/>
    <d v="2020-01-20T00:00:00"/>
    <x v="9"/>
    <n v="9"/>
    <n v="7"/>
    <n v="798.4"/>
    <n v="564.18908876700141"/>
    <n v="3949.3236213690097"/>
    <n v="5588.8"/>
    <n v="-1639.4763786309904"/>
    <n v="-103.49448711185347"/>
    <n v="-1742.9708657428439"/>
    <n v="0"/>
    <n v="0"/>
    <n v="0"/>
    <n v="-1742.9708657428439"/>
  </r>
  <r>
    <x v="0"/>
    <d v="2019-02-05T00:00:00"/>
    <d v="2019-02-20T00:00:00"/>
    <x v="10"/>
    <n v="9"/>
    <n v="1"/>
    <n v="904.88"/>
    <n v="564.18908876700141"/>
    <n v="564.18908876700141"/>
    <n v="904.88"/>
    <n v="-340.69091123299859"/>
    <n v="-14.784926730264781"/>
    <n v="-355.47583796326336"/>
    <n v="0"/>
    <n v="0"/>
    <n v="0"/>
    <n v="-355.47583796326336"/>
  </r>
  <r>
    <x v="1"/>
    <d v="2019-03-05T00:00:00"/>
    <d v="2019-03-20T00:00:00"/>
    <x v="10"/>
    <n v="9"/>
    <n v="4"/>
    <n v="904.88"/>
    <n v="564.18908876700141"/>
    <n v="2256.7563550680056"/>
    <n v="3619.52"/>
    <n v="-1362.7636449319943"/>
    <n v="-59.139706921059123"/>
    <n v="-1421.9033518530534"/>
    <n v="0"/>
    <n v="0"/>
    <n v="0"/>
    <n v="-1421.9033518530534"/>
  </r>
  <r>
    <x v="2"/>
    <d v="2019-04-03T00:00:00"/>
    <d v="2019-04-18T00:00:00"/>
    <x v="10"/>
    <n v="9"/>
    <n v="1"/>
    <n v="904.88"/>
    <n v="564.18908876700141"/>
    <n v="564.18908876700141"/>
    <n v="904.88"/>
    <n v="-340.69091123299859"/>
    <n v="-14.784926730264781"/>
    <n v="-355.47583796326336"/>
    <n v="0"/>
    <n v="0"/>
    <n v="0"/>
    <n v="-355.47583796326336"/>
  </r>
  <r>
    <x v="3"/>
    <d v="2019-05-03T00:00:00"/>
    <d v="2019-05-20T00:00:00"/>
    <x v="10"/>
    <n v="9"/>
    <n v="3"/>
    <n v="904.88"/>
    <n v="564.18908876700141"/>
    <n v="1692.5672663010041"/>
    <n v="2714.64"/>
    <n v="-1022.0727336989958"/>
    <n v="-44.354780190794344"/>
    <n v="-1066.4275138897901"/>
    <n v="0"/>
    <n v="0"/>
    <n v="0"/>
    <n v="-1066.4275138897901"/>
  </r>
  <r>
    <x v="4"/>
    <d v="2019-06-05T00:00:00"/>
    <d v="2019-06-20T00:00:00"/>
    <x v="10"/>
    <n v="9"/>
    <n v="3"/>
    <n v="904.88"/>
    <n v="564.18908876700141"/>
    <n v="1692.5672663010041"/>
    <n v="2714.64"/>
    <n v="-1022.0727336989958"/>
    <n v="-44.354780190794344"/>
    <n v="-1066.4275138897901"/>
    <n v="0"/>
    <n v="0"/>
    <n v="0"/>
    <n v="-1066.4275138897901"/>
  </r>
  <r>
    <x v="5"/>
    <d v="2019-07-03T00:00:00"/>
    <d v="2019-07-18T00:00:00"/>
    <x v="10"/>
    <n v="9"/>
    <n v="2"/>
    <n v="904.88"/>
    <n v="564.18908876700141"/>
    <n v="1128.3781775340028"/>
    <n v="1809.76"/>
    <n v="-681.38182246599717"/>
    <n v="-29.569853460529561"/>
    <n v="-710.95167592652672"/>
    <n v="0"/>
    <n v="0"/>
    <n v="0"/>
    <n v="-710.95167592652672"/>
  </r>
  <r>
    <x v="6"/>
    <d v="2019-08-05T00:00:00"/>
    <d v="2019-08-20T00:00:00"/>
    <x v="10"/>
    <n v="9"/>
    <n v="6"/>
    <n v="904.88"/>
    <n v="564.18908876700141"/>
    <n v="3385.1345326020082"/>
    <n v="5429.28"/>
    <n v="-2044.1454673979915"/>
    <n v="-88.709560381588688"/>
    <n v="-2132.8550277795803"/>
    <n v="0"/>
    <n v="0"/>
    <n v="0"/>
    <n v="-2132.8550277795803"/>
  </r>
  <r>
    <x v="7"/>
    <d v="2019-09-04T00:00:00"/>
    <d v="2019-09-19T00:00:00"/>
    <x v="10"/>
    <n v="9"/>
    <n v="4"/>
    <n v="798.4"/>
    <n v="564.18908876700141"/>
    <n v="2256.7563550680056"/>
    <n v="3193.6"/>
    <n v="-936.84364493199428"/>
    <n v="-59.139706921059123"/>
    <n v="-995.98335185305336"/>
    <n v="0"/>
    <n v="0"/>
    <n v="0"/>
    <n v="-995.98335185305336"/>
  </r>
  <r>
    <x v="8"/>
    <d v="2019-10-03T00:00:00"/>
    <d v="2019-10-18T00:00:00"/>
    <x v="10"/>
    <n v="9"/>
    <n v="3"/>
    <n v="798.4"/>
    <n v="564.18908876700141"/>
    <n v="1692.5672663010041"/>
    <n v="2395.1999999999998"/>
    <n v="-702.63273369899571"/>
    <n v="-44.354780190794344"/>
    <n v="-746.98751388979008"/>
    <n v="0"/>
    <n v="0"/>
    <n v="0"/>
    <n v="-746.98751388979008"/>
  </r>
  <r>
    <x v="9"/>
    <d v="2019-11-05T00:00:00"/>
    <d v="2019-11-20T00:00:00"/>
    <x v="10"/>
    <n v="9"/>
    <n v="4"/>
    <n v="798.4"/>
    <n v="564.18908876700141"/>
    <n v="2256.7563550680056"/>
    <n v="3193.6"/>
    <n v="-936.84364493199428"/>
    <n v="-59.139706921059123"/>
    <n v="-995.98335185305336"/>
    <n v="0"/>
    <n v="0"/>
    <n v="0"/>
    <n v="-995.98335185305336"/>
  </r>
  <r>
    <x v="10"/>
    <d v="2019-12-04T00:00:00"/>
    <d v="2019-12-19T00:00:00"/>
    <x v="10"/>
    <n v="9"/>
    <n v="4"/>
    <n v="798.4"/>
    <n v="564.18908876700141"/>
    <n v="2256.7563550680056"/>
    <n v="3193.6"/>
    <n v="-936.84364493199428"/>
    <n v="-59.139706921059123"/>
    <n v="-995.98335185305336"/>
    <n v="0"/>
    <n v="0"/>
    <n v="0"/>
    <n v="-995.98335185305336"/>
  </r>
  <r>
    <x v="11"/>
    <d v="2020-01-03T00:00:00"/>
    <d v="2020-01-20T00:00:00"/>
    <x v="10"/>
    <n v="9"/>
    <n v="4"/>
    <n v="798.4"/>
    <n v="564.18908876700141"/>
    <n v="2256.7563550680056"/>
    <n v="3193.6"/>
    <n v="-936.84364493199428"/>
    <n v="-59.139706921059123"/>
    <n v="-995.98335185305336"/>
    <n v="0"/>
    <n v="0"/>
    <n v="0"/>
    <n v="-995.98335185305336"/>
  </r>
  <r>
    <x v="0"/>
    <d v="2019-02-05T00:00:00"/>
    <d v="2019-02-20T00:00:00"/>
    <x v="11"/>
    <n v="9"/>
    <n v="108"/>
    <n v="904.88"/>
    <n v="564.18908876700141"/>
    <n v="60932.42158683615"/>
    <n v="97727.039999999994"/>
    <n v="-36794.618413163844"/>
    <n v="-1596.7720868685965"/>
    <n v="-38391.390500032438"/>
    <n v="0"/>
    <n v="0"/>
    <n v="0"/>
    <n v="-38391.390500032438"/>
  </r>
  <r>
    <x v="1"/>
    <d v="2019-03-05T00:00:00"/>
    <d v="2019-03-20T00:00:00"/>
    <x v="11"/>
    <n v="9"/>
    <n v="116"/>
    <n v="904.88"/>
    <n v="564.18908876700141"/>
    <n v="65445.934296972162"/>
    <n v="104966.08"/>
    <n v="-39520.14570302784"/>
    <n v="-1715.0515007107147"/>
    <n v="-41235.197203738557"/>
    <n v="0"/>
    <n v="0"/>
    <n v="0"/>
    <n v="-41235.197203738557"/>
  </r>
  <r>
    <x v="2"/>
    <d v="2019-04-03T00:00:00"/>
    <d v="2019-04-18T00:00:00"/>
    <x v="11"/>
    <n v="9"/>
    <n v="115"/>
    <n v="904.88"/>
    <n v="564.18908876700141"/>
    <n v="64881.74520820516"/>
    <n v="104061.2"/>
    <n v="-39179.454791794837"/>
    <n v="-1700.2665739804497"/>
    <n v="-40879.721365775287"/>
    <n v="0"/>
    <n v="0"/>
    <n v="0"/>
    <n v="-40879.721365775287"/>
  </r>
  <r>
    <x v="3"/>
    <d v="2019-05-03T00:00:00"/>
    <d v="2019-05-20T00:00:00"/>
    <x v="11"/>
    <n v="9"/>
    <n v="96"/>
    <n v="904.88"/>
    <n v="564.18908876700141"/>
    <n v="54162.152521632132"/>
    <n v="86868.479999999996"/>
    <n v="-32706.327478367864"/>
    <n v="-1419.352966105419"/>
    <n v="-34125.680444473284"/>
    <n v="0"/>
    <n v="0"/>
    <n v="0"/>
    <n v="-34125.680444473284"/>
  </r>
  <r>
    <x v="4"/>
    <d v="2019-06-05T00:00:00"/>
    <d v="2019-06-20T00:00:00"/>
    <x v="11"/>
    <n v="9"/>
    <n v="127"/>
    <n v="904.88"/>
    <n v="564.18908876700141"/>
    <n v="71652.014273409179"/>
    <n v="114919.76"/>
    <n v="-43267.745726590816"/>
    <n v="-1877.6856947436272"/>
    <n v="-45145.431421334441"/>
    <n v="0"/>
    <n v="0"/>
    <n v="0"/>
    <n v="-45145.431421334441"/>
  </r>
  <r>
    <x v="5"/>
    <d v="2019-07-03T00:00:00"/>
    <d v="2019-07-18T00:00:00"/>
    <x v="11"/>
    <n v="9"/>
    <n v="143"/>
    <n v="904.88"/>
    <n v="564.18908876700141"/>
    <n v="80679.039693681203"/>
    <n v="129397.84"/>
    <n v="-48718.800306318793"/>
    <n v="-2114.2445224278636"/>
    <n v="-50833.044828746657"/>
    <n v="0"/>
    <n v="0"/>
    <n v="0"/>
    <n v="-50833.044828746657"/>
  </r>
  <r>
    <x v="6"/>
    <d v="2019-08-05T00:00:00"/>
    <d v="2019-08-20T00:00:00"/>
    <x v="11"/>
    <n v="9"/>
    <n v="153"/>
    <n v="904.88"/>
    <n v="564.18908876700141"/>
    <n v="86320.930581351218"/>
    <n v="138446.63999999998"/>
    <n v="-52125.709418648767"/>
    <n v="-2262.0937897305116"/>
    <n v="-54387.803208379279"/>
    <n v="0"/>
    <n v="0"/>
    <n v="0"/>
    <n v="-54387.803208379279"/>
  </r>
  <r>
    <x v="7"/>
    <d v="2019-09-04T00:00:00"/>
    <d v="2019-09-19T00:00:00"/>
    <x v="11"/>
    <n v="9"/>
    <n v="162"/>
    <n v="798.4"/>
    <n v="564.18908876700141"/>
    <n v="91398.632380254232"/>
    <n v="129340.8"/>
    <n v="-37942.167619745771"/>
    <n v="-2395.1581303028943"/>
    <n v="-40337.325750048665"/>
    <n v="0"/>
    <n v="0"/>
    <n v="0"/>
    <n v="-40337.325750048665"/>
  </r>
  <r>
    <x v="8"/>
    <d v="2019-10-03T00:00:00"/>
    <d v="2019-10-18T00:00:00"/>
    <x v="11"/>
    <n v="9"/>
    <n v="145"/>
    <n v="798.4"/>
    <n v="564.18908876700141"/>
    <n v="81807.417871215206"/>
    <n v="115768"/>
    <n v="-33960.582128784794"/>
    <n v="-2143.8143758883934"/>
    <n v="-36104.39650467319"/>
    <n v="0"/>
    <n v="0"/>
    <n v="0"/>
    <n v="-36104.39650467319"/>
  </r>
  <r>
    <x v="9"/>
    <d v="2019-11-05T00:00:00"/>
    <d v="2019-11-20T00:00:00"/>
    <x v="11"/>
    <n v="9"/>
    <n v="134"/>
    <n v="798.4"/>
    <n v="564.18908876700141"/>
    <n v="75601.337894778189"/>
    <n v="106985.59999999999"/>
    <n v="-31384.262105221802"/>
    <n v="-1981.1801818554804"/>
    <n v="-33365.442287077283"/>
    <n v="0"/>
    <n v="0"/>
    <n v="0"/>
    <n v="-33365.442287077283"/>
  </r>
  <r>
    <x v="10"/>
    <d v="2019-12-04T00:00:00"/>
    <d v="2019-12-19T00:00:00"/>
    <x v="11"/>
    <n v="9"/>
    <n v="105"/>
    <n v="798.4"/>
    <n v="564.18908876700141"/>
    <n v="59239.854320535145"/>
    <n v="83832"/>
    <n v="-24592.145679464855"/>
    <n v="-1552.4173066778019"/>
    <n v="-26144.562986142657"/>
    <n v="0"/>
    <n v="0"/>
    <n v="0"/>
    <n v="-26144.562986142657"/>
  </r>
  <r>
    <x v="11"/>
    <d v="2020-01-03T00:00:00"/>
    <d v="2020-01-20T00:00:00"/>
    <x v="11"/>
    <n v="9"/>
    <n v="106"/>
    <n v="798.4"/>
    <n v="564.18908876700141"/>
    <n v="59804.043409302147"/>
    <n v="84630.399999999994"/>
    <n v="-24826.356590697847"/>
    <n v="-1567.2022334080666"/>
    <n v="-26393.558824105916"/>
    <n v="0"/>
    <n v="0"/>
    <n v="0"/>
    <n v="-26393.558824105916"/>
  </r>
  <r>
    <x v="0"/>
    <d v="2019-02-05T00:00:00"/>
    <d v="2019-02-20T00:00:00"/>
    <x v="12"/>
    <n v="9"/>
    <n v="11"/>
    <n v="904.88"/>
    <n v="564.18908876700141"/>
    <n v="6206.0799764370158"/>
    <n v="9953.68"/>
    <n v="-3747.6000235629845"/>
    <n v="-162.63419403291257"/>
    <n v="-3910.234217595897"/>
    <n v="0"/>
    <n v="0"/>
    <n v="0"/>
    <n v="-3910.234217595897"/>
  </r>
  <r>
    <x v="1"/>
    <d v="2019-03-05T00:00:00"/>
    <d v="2019-03-20T00:00:00"/>
    <x v="12"/>
    <n v="9"/>
    <n v="9"/>
    <n v="904.88"/>
    <n v="564.18908876700141"/>
    <n v="5077.7017989030128"/>
    <n v="8143.92"/>
    <n v="-3066.2182010969873"/>
    <n v="-133.06434057238303"/>
    <n v="-3199.2825416693704"/>
    <n v="0"/>
    <n v="0"/>
    <n v="0"/>
    <n v="-3199.2825416693704"/>
  </r>
  <r>
    <x v="2"/>
    <d v="2019-04-03T00:00:00"/>
    <d v="2019-04-18T00:00:00"/>
    <x v="12"/>
    <n v="9"/>
    <n v="12"/>
    <n v="904.88"/>
    <n v="564.18908876700141"/>
    <n v="6770.2690652040164"/>
    <n v="10858.56"/>
    <n v="-4088.290934795983"/>
    <n v="-177.41912076317738"/>
    <n v="-4265.7100555591605"/>
    <n v="0"/>
    <n v="0"/>
    <n v="0"/>
    <n v="-4265.7100555591605"/>
  </r>
  <r>
    <x v="3"/>
    <d v="2019-05-03T00:00:00"/>
    <d v="2019-05-20T00:00:00"/>
    <x v="12"/>
    <n v="9"/>
    <n v="10"/>
    <n v="904.88"/>
    <n v="564.18908876700141"/>
    <n v="5641.8908876700143"/>
    <n v="9048.7999999999993"/>
    <n v="-3406.909112329985"/>
    <n v="-147.8492673026478"/>
    <n v="-3554.7583796326326"/>
    <n v="0"/>
    <n v="0"/>
    <n v="0"/>
    <n v="-3554.7583796326326"/>
  </r>
  <r>
    <x v="4"/>
    <d v="2019-06-05T00:00:00"/>
    <d v="2019-06-20T00:00:00"/>
    <x v="12"/>
    <n v="9"/>
    <n v="13"/>
    <n v="904.88"/>
    <n v="564.18908876700141"/>
    <n v="7334.458153971018"/>
    <n v="11763.44"/>
    <n v="-4428.9818460289825"/>
    <n v="-192.20404749344218"/>
    <n v="-4621.1858935224245"/>
    <n v="0"/>
    <n v="0"/>
    <n v="0"/>
    <n v="-4621.1858935224245"/>
  </r>
  <r>
    <x v="5"/>
    <d v="2019-07-03T00:00:00"/>
    <d v="2019-07-18T00:00:00"/>
    <x v="12"/>
    <n v="9"/>
    <n v="12"/>
    <n v="904.88"/>
    <n v="564.18908876700141"/>
    <n v="6770.2690652040164"/>
    <n v="10858.56"/>
    <n v="-4088.290934795983"/>
    <n v="-177.41912076317738"/>
    <n v="-4265.7100555591605"/>
    <n v="0"/>
    <n v="0"/>
    <n v="0"/>
    <n v="-4265.7100555591605"/>
  </r>
  <r>
    <x v="6"/>
    <d v="2019-08-05T00:00:00"/>
    <d v="2019-08-20T00:00:00"/>
    <x v="12"/>
    <n v="9"/>
    <n v="14"/>
    <n v="904.88"/>
    <n v="564.18908876700141"/>
    <n v="7898.6472427380195"/>
    <n v="12668.32"/>
    <n v="-4769.6727572619802"/>
    <n v="-206.98897422370695"/>
    <n v="-4976.6617314856876"/>
    <n v="0"/>
    <n v="0"/>
    <n v="0"/>
    <n v="-4976.6617314856876"/>
  </r>
  <r>
    <x v="7"/>
    <d v="2019-09-04T00:00:00"/>
    <d v="2019-09-19T00:00:00"/>
    <x v="12"/>
    <n v="9"/>
    <n v="16"/>
    <n v="798.4"/>
    <n v="564.18908876700141"/>
    <n v="9027.0254202720225"/>
    <n v="12774.4"/>
    <n v="-3747.3745797279771"/>
    <n v="-236.55882768423649"/>
    <n v="-3983.9334074122135"/>
    <n v="0"/>
    <n v="0"/>
    <n v="0"/>
    <n v="-3983.9334074122135"/>
  </r>
  <r>
    <x v="8"/>
    <d v="2019-10-03T00:00:00"/>
    <d v="2019-10-18T00:00:00"/>
    <x v="12"/>
    <n v="9"/>
    <n v="13"/>
    <n v="798.4"/>
    <n v="564.18908876700141"/>
    <n v="7334.458153971018"/>
    <n v="10379.199999999999"/>
    <n v="-3044.7418460289809"/>
    <n v="-192.20404749344218"/>
    <n v="-3236.9458935224229"/>
    <n v="0"/>
    <n v="0"/>
    <n v="0"/>
    <n v="-3236.9458935224229"/>
  </r>
  <r>
    <x v="9"/>
    <d v="2019-11-05T00:00:00"/>
    <d v="2019-11-20T00:00:00"/>
    <x v="12"/>
    <n v="9"/>
    <n v="12"/>
    <n v="798.4"/>
    <n v="564.18908876700141"/>
    <n v="6770.2690652040164"/>
    <n v="9580.7999999999993"/>
    <n v="-2810.5309347959828"/>
    <n v="-177.41912076317738"/>
    <n v="-2987.9500555591603"/>
    <n v="0"/>
    <n v="0"/>
    <n v="0"/>
    <n v="-2987.9500555591603"/>
  </r>
  <r>
    <x v="10"/>
    <d v="2019-12-04T00:00:00"/>
    <d v="2019-12-19T00:00:00"/>
    <x v="12"/>
    <n v="9"/>
    <n v="9"/>
    <n v="798.4"/>
    <n v="564.18908876700141"/>
    <n v="5077.7017989030128"/>
    <n v="7185.5999999999995"/>
    <n v="-2107.8982010969867"/>
    <n v="-133.06434057238303"/>
    <n v="-2240.9625416693698"/>
    <n v="0"/>
    <n v="0"/>
    <n v="0"/>
    <n v="-2240.9625416693698"/>
  </r>
  <r>
    <x v="11"/>
    <d v="2020-01-03T00:00:00"/>
    <d v="2020-01-20T00:00:00"/>
    <x v="12"/>
    <n v="9"/>
    <n v="10"/>
    <n v="798.4"/>
    <n v="564.18908876700141"/>
    <n v="5641.8908876700143"/>
    <n v="7984"/>
    <n v="-2342.1091123299857"/>
    <n v="-147.8492673026478"/>
    <n v="-2489.9583796326333"/>
    <n v="0"/>
    <n v="0"/>
    <n v="0"/>
    <n v="-2489.9583796326333"/>
  </r>
  <r>
    <x v="0"/>
    <d v="2019-02-05T00:00:00"/>
    <d v="2019-02-20T00:00:00"/>
    <x v="13"/>
    <n v="9"/>
    <n v="22"/>
    <n v="904.88"/>
    <n v="564.18908876700141"/>
    <n v="12412.159952874032"/>
    <n v="19907.36"/>
    <n v="-7495.2000471259689"/>
    <n v="-325.26838806582515"/>
    <n v="-7820.468435191794"/>
    <n v="0"/>
    <n v="0"/>
    <n v="0"/>
    <n v="-7820.468435191794"/>
  </r>
  <r>
    <x v="1"/>
    <d v="2019-03-05T00:00:00"/>
    <d v="2019-03-20T00:00:00"/>
    <x v="13"/>
    <n v="9"/>
    <n v="20"/>
    <n v="904.88"/>
    <n v="564.18908876700141"/>
    <n v="11283.781775340029"/>
    <n v="18097.599999999999"/>
    <n v="-6813.8182246599699"/>
    <n v="-295.69853460529561"/>
    <n v="-7109.5167592652651"/>
    <n v="0"/>
    <n v="0"/>
    <n v="0"/>
    <n v="-7109.5167592652651"/>
  </r>
  <r>
    <x v="2"/>
    <d v="2019-04-03T00:00:00"/>
    <d v="2019-04-18T00:00:00"/>
    <x v="13"/>
    <n v="9"/>
    <n v="21"/>
    <n v="904.88"/>
    <n v="564.18908876700141"/>
    <n v="11847.97086410703"/>
    <n v="19002.48"/>
    <n v="-7154.5091358929694"/>
    <n v="-310.48346133556038"/>
    <n v="-7464.99259722853"/>
    <n v="0"/>
    <n v="0"/>
    <n v="0"/>
    <n v="-7464.99259722853"/>
  </r>
  <r>
    <x v="3"/>
    <d v="2019-05-03T00:00:00"/>
    <d v="2019-05-20T00:00:00"/>
    <x v="13"/>
    <n v="9"/>
    <n v="21"/>
    <n v="904.88"/>
    <n v="564.18908876700141"/>
    <n v="11847.97086410703"/>
    <n v="19002.48"/>
    <n v="-7154.5091358929694"/>
    <n v="-310.48346133556038"/>
    <n v="-7464.99259722853"/>
    <n v="0"/>
    <n v="0"/>
    <n v="0"/>
    <n v="-7464.99259722853"/>
  </r>
  <r>
    <x v="4"/>
    <d v="2019-06-05T00:00:00"/>
    <d v="2019-06-20T00:00:00"/>
    <x v="13"/>
    <n v="9"/>
    <n v="30"/>
    <n v="904.88"/>
    <n v="564.18908876700141"/>
    <n v="16925.672663010042"/>
    <n v="27146.400000000001"/>
    <n v="-10220.727336989959"/>
    <n v="-443.54780190794344"/>
    <n v="-10664.275138897903"/>
    <n v="0"/>
    <n v="0"/>
    <n v="0"/>
    <n v="-10664.275138897903"/>
  </r>
  <r>
    <x v="5"/>
    <d v="2019-07-03T00:00:00"/>
    <d v="2019-07-18T00:00:00"/>
    <x v="13"/>
    <n v="9"/>
    <n v="32"/>
    <n v="904.88"/>
    <n v="564.18908876700141"/>
    <n v="18054.050840544045"/>
    <n v="28956.16"/>
    <n v="-10902.109159455955"/>
    <n v="-473.11765536847298"/>
    <n v="-11375.226814824427"/>
    <n v="0"/>
    <n v="0"/>
    <n v="0"/>
    <n v="-11375.226814824427"/>
  </r>
  <r>
    <x v="6"/>
    <d v="2019-08-05T00:00:00"/>
    <d v="2019-08-20T00:00:00"/>
    <x v="13"/>
    <n v="9"/>
    <n v="33"/>
    <n v="904.88"/>
    <n v="564.18908876700141"/>
    <n v="18618.239929311047"/>
    <n v="29861.040000000001"/>
    <n v="-11242.800070688954"/>
    <n v="-487.90258209873775"/>
    <n v="-11730.702652787691"/>
    <n v="0"/>
    <n v="0"/>
    <n v="0"/>
    <n v="-11730.702652787691"/>
  </r>
  <r>
    <x v="7"/>
    <d v="2019-09-04T00:00:00"/>
    <d v="2019-09-19T00:00:00"/>
    <x v="13"/>
    <n v="9"/>
    <n v="36"/>
    <n v="798.4"/>
    <n v="564.18908876700141"/>
    <n v="20310.807195612051"/>
    <n v="28742.399999999998"/>
    <n v="-8431.5928043879467"/>
    <n v="-532.25736228953213"/>
    <n v="-8963.8501666774791"/>
    <n v="0"/>
    <n v="0"/>
    <n v="0"/>
    <n v="-8963.8501666774791"/>
  </r>
  <r>
    <x v="8"/>
    <d v="2019-10-03T00:00:00"/>
    <d v="2019-10-18T00:00:00"/>
    <x v="13"/>
    <n v="9"/>
    <n v="34"/>
    <n v="798.4"/>
    <n v="564.18908876700141"/>
    <n v="19182.429018078048"/>
    <n v="27145.599999999999"/>
    <n v="-7963.1709819219504"/>
    <n v="-502.68750882900252"/>
    <n v="-8465.8584907509521"/>
    <n v="0"/>
    <n v="0"/>
    <n v="0"/>
    <n v="-8465.8584907509521"/>
  </r>
  <r>
    <x v="9"/>
    <d v="2019-11-05T00:00:00"/>
    <d v="2019-11-20T00:00:00"/>
    <x v="13"/>
    <n v="9"/>
    <n v="34"/>
    <n v="798.4"/>
    <n v="564.18908876700141"/>
    <n v="19182.429018078048"/>
    <n v="27145.599999999999"/>
    <n v="-7963.1709819219504"/>
    <n v="-502.68750882900252"/>
    <n v="-8465.8584907509521"/>
    <n v="0"/>
    <n v="0"/>
    <n v="0"/>
    <n v="-8465.8584907509521"/>
  </r>
  <r>
    <x v="10"/>
    <d v="2019-12-04T00:00:00"/>
    <d v="2019-12-19T00:00:00"/>
    <x v="13"/>
    <n v="9"/>
    <n v="21"/>
    <n v="798.4"/>
    <n v="564.18908876700141"/>
    <n v="11847.97086410703"/>
    <n v="16766.399999999998"/>
    <n v="-4918.4291358929677"/>
    <n v="-310.48346133556038"/>
    <n v="-5228.9125972285283"/>
    <n v="0"/>
    <n v="0"/>
    <n v="0"/>
    <n v="-5228.9125972285283"/>
  </r>
  <r>
    <x v="11"/>
    <d v="2020-01-03T00:00:00"/>
    <d v="2020-01-20T00:00:00"/>
    <x v="13"/>
    <n v="9"/>
    <n v="21"/>
    <n v="798.4"/>
    <n v="564.18908876700141"/>
    <n v="11847.97086410703"/>
    <n v="16766.399999999998"/>
    <n v="-4918.4291358929677"/>
    <n v="-310.48346133556038"/>
    <n v="-5228.9125972285283"/>
    <n v="0"/>
    <n v="0"/>
    <n v="0"/>
    <n v="-5228.9125972285283"/>
  </r>
  <r>
    <x v="0"/>
    <d v="2019-02-05T00:00:00"/>
    <d v="2019-02-20T00:00:00"/>
    <x v="14"/>
    <n v="9"/>
    <n v="43"/>
    <n v="904.88"/>
    <n v="564.18908876700141"/>
    <n v="24260.130816981062"/>
    <n v="38909.839999999997"/>
    <n v="-14649.709183018935"/>
    <n v="-635.75184940138558"/>
    <n v="-15285.46103242032"/>
    <n v="0"/>
    <n v="0"/>
    <n v="0"/>
    <n v="-15285.46103242032"/>
  </r>
  <r>
    <x v="1"/>
    <d v="2019-03-05T00:00:00"/>
    <d v="2019-03-20T00:00:00"/>
    <x v="14"/>
    <n v="9"/>
    <n v="42"/>
    <n v="904.88"/>
    <n v="564.18908876700141"/>
    <n v="23695.94172821406"/>
    <n v="38004.959999999999"/>
    <n v="-14309.018271785939"/>
    <n v="-620.96692267112076"/>
    <n v="-14929.98519445706"/>
    <n v="0"/>
    <n v="0"/>
    <n v="0"/>
    <n v="-14929.98519445706"/>
  </r>
  <r>
    <x v="2"/>
    <d v="2019-04-03T00:00:00"/>
    <d v="2019-04-18T00:00:00"/>
    <x v="14"/>
    <n v="9"/>
    <n v="42"/>
    <n v="904.88"/>
    <n v="564.18908876700141"/>
    <n v="23695.94172821406"/>
    <n v="38004.959999999999"/>
    <n v="-14309.018271785939"/>
    <n v="-620.96692267112076"/>
    <n v="-14929.98519445706"/>
    <n v="0"/>
    <n v="0"/>
    <n v="0"/>
    <n v="-14929.98519445706"/>
  </r>
  <r>
    <x v="3"/>
    <d v="2019-05-03T00:00:00"/>
    <d v="2019-05-20T00:00:00"/>
    <x v="14"/>
    <n v="9"/>
    <n v="39"/>
    <n v="904.88"/>
    <n v="564.18908876700141"/>
    <n v="22003.374461913056"/>
    <n v="35290.32"/>
    <n v="-13286.945538086944"/>
    <n v="-576.6121424803265"/>
    <n v="-13863.55768056727"/>
    <n v="0"/>
    <n v="0"/>
    <n v="0"/>
    <n v="-13863.55768056727"/>
  </r>
  <r>
    <x v="4"/>
    <d v="2019-06-05T00:00:00"/>
    <d v="2019-06-20T00:00:00"/>
    <x v="14"/>
    <n v="9"/>
    <n v="49"/>
    <n v="904.88"/>
    <n v="564.18908876700141"/>
    <n v="27645.265349583067"/>
    <n v="44339.12"/>
    <n v="-16693.854650416935"/>
    <n v="-724.46140978297421"/>
    <n v="-17418.316060199908"/>
    <n v="0"/>
    <n v="0"/>
    <n v="0"/>
    <n v="-17418.316060199908"/>
  </r>
  <r>
    <x v="5"/>
    <d v="2019-07-03T00:00:00"/>
    <d v="2019-07-18T00:00:00"/>
    <x v="14"/>
    <n v="9"/>
    <n v="52"/>
    <n v="904.88"/>
    <n v="564.18908876700141"/>
    <n v="29337.832615884072"/>
    <n v="47053.760000000002"/>
    <n v="-17715.92738411593"/>
    <n v="-768.8161899737687"/>
    <n v="-18484.743574089698"/>
    <n v="0"/>
    <n v="0"/>
    <n v="0"/>
    <n v="-18484.743574089698"/>
  </r>
  <r>
    <x v="6"/>
    <d v="2019-08-05T00:00:00"/>
    <d v="2019-08-20T00:00:00"/>
    <x v="14"/>
    <n v="9"/>
    <n v="53"/>
    <n v="904.88"/>
    <n v="564.18908876700141"/>
    <n v="29902.021704651073"/>
    <n v="47958.64"/>
    <n v="-18056.618295348926"/>
    <n v="-783.6011167040333"/>
    <n v="-18840.21941205296"/>
    <n v="0"/>
    <n v="0"/>
    <n v="0"/>
    <n v="-18840.21941205296"/>
  </r>
  <r>
    <x v="7"/>
    <d v="2019-09-04T00:00:00"/>
    <d v="2019-09-19T00:00:00"/>
    <x v="14"/>
    <n v="9"/>
    <n v="53"/>
    <n v="798.4"/>
    <n v="564.18908876700141"/>
    <n v="29902.021704651073"/>
    <n v="42315.199999999997"/>
    <n v="-12413.178295348924"/>
    <n v="-783.6011167040333"/>
    <n v="-13196.779412052958"/>
    <n v="0"/>
    <n v="0"/>
    <n v="0"/>
    <n v="-13196.779412052958"/>
  </r>
  <r>
    <x v="8"/>
    <d v="2019-10-03T00:00:00"/>
    <d v="2019-10-18T00:00:00"/>
    <x v="14"/>
    <n v="9"/>
    <n v="49"/>
    <n v="798.4"/>
    <n v="564.18908876700141"/>
    <n v="27645.265349583067"/>
    <n v="39121.599999999999"/>
    <n v="-11476.334650416931"/>
    <n v="-724.46140978297421"/>
    <n v="-12200.796060199906"/>
    <n v="0"/>
    <n v="0"/>
    <n v="0"/>
    <n v="-12200.796060199906"/>
  </r>
  <r>
    <x v="9"/>
    <d v="2019-11-05T00:00:00"/>
    <d v="2019-11-20T00:00:00"/>
    <x v="14"/>
    <n v="9"/>
    <n v="49"/>
    <n v="798.4"/>
    <n v="564.18908876700141"/>
    <n v="27645.265349583067"/>
    <n v="39121.599999999999"/>
    <n v="-11476.334650416931"/>
    <n v="-724.46140978297421"/>
    <n v="-12200.796060199906"/>
    <n v="0"/>
    <n v="0"/>
    <n v="0"/>
    <n v="-12200.796060199906"/>
  </r>
  <r>
    <x v="10"/>
    <d v="2019-12-04T00:00:00"/>
    <d v="2019-12-19T00:00:00"/>
    <x v="14"/>
    <n v="9"/>
    <n v="35"/>
    <n v="798.4"/>
    <n v="564.18908876700141"/>
    <n v="19746.61810684505"/>
    <n v="27944"/>
    <n v="-8197.3818931549504"/>
    <n v="-517.4724355592673"/>
    <n v="-8714.8543287142184"/>
    <n v="0"/>
    <n v="0"/>
    <n v="0"/>
    <n v="-8714.8543287142184"/>
  </r>
  <r>
    <x v="11"/>
    <d v="2020-01-03T00:00:00"/>
    <d v="2020-01-20T00:00:00"/>
    <x v="14"/>
    <n v="9"/>
    <n v="35"/>
    <n v="798.4"/>
    <n v="564.18908876700141"/>
    <n v="19746.61810684505"/>
    <n v="27944"/>
    <n v="-8197.3818931549504"/>
    <n v="-517.4724355592673"/>
    <n v="-8714.8543287142184"/>
    <n v="0"/>
    <n v="0"/>
    <n v="0"/>
    <n v="-8714.8543287142184"/>
  </r>
  <r>
    <x v="0"/>
    <d v="2019-02-05T00:00:00"/>
    <d v="2019-02-20T00:00:00"/>
    <x v="15"/>
    <n v="9"/>
    <n v="104"/>
    <n v="904.88"/>
    <n v="564.18908876700141"/>
    <n v="58675.665231768144"/>
    <n v="94107.520000000004"/>
    <n v="-35431.85476823186"/>
    <n v="-1537.6323799475374"/>
    <n v="-36969.487148179396"/>
    <n v="0"/>
    <n v="0"/>
    <n v="0"/>
    <n v="-36969.487148179396"/>
  </r>
  <r>
    <x v="1"/>
    <d v="2019-03-05T00:00:00"/>
    <d v="2019-03-20T00:00:00"/>
    <x v="15"/>
    <n v="9"/>
    <n v="103"/>
    <n v="904.88"/>
    <n v="564.18908876700141"/>
    <n v="58111.476143001142"/>
    <n v="93202.64"/>
    <n v="-35091.163856998857"/>
    <n v="-1522.8474532172725"/>
    <n v="-36614.011310216127"/>
    <n v="0"/>
    <n v="0"/>
    <n v="0"/>
    <n v="-36614.011310216127"/>
  </r>
  <r>
    <x v="2"/>
    <d v="2019-04-03T00:00:00"/>
    <d v="2019-04-18T00:00:00"/>
    <x v="15"/>
    <n v="9"/>
    <n v="105"/>
    <n v="904.88"/>
    <n v="564.18908876700141"/>
    <n v="59239.854320535145"/>
    <n v="95012.4"/>
    <n v="-35772.545679464849"/>
    <n v="-1552.4173066778019"/>
    <n v="-37324.962986142651"/>
    <n v="0"/>
    <n v="0"/>
    <n v="0"/>
    <n v="-37324.962986142651"/>
  </r>
  <r>
    <x v="3"/>
    <d v="2019-05-03T00:00:00"/>
    <d v="2019-05-20T00:00:00"/>
    <x v="15"/>
    <n v="9"/>
    <n v="104"/>
    <n v="904.88"/>
    <n v="564.18908876700141"/>
    <n v="58675.665231768144"/>
    <n v="94107.520000000004"/>
    <n v="-35431.85476823186"/>
    <n v="-1537.6323799475374"/>
    <n v="-36969.487148179396"/>
    <n v="0"/>
    <n v="0"/>
    <n v="0"/>
    <n v="-36969.487148179396"/>
  </r>
  <r>
    <x v="4"/>
    <d v="2019-06-05T00:00:00"/>
    <d v="2019-06-20T00:00:00"/>
    <x v="15"/>
    <n v="9"/>
    <n v="106"/>
    <n v="904.88"/>
    <n v="564.18908876700141"/>
    <n v="59804.043409302147"/>
    <n v="95917.28"/>
    <n v="-36113.236590697852"/>
    <n v="-1567.2022334080666"/>
    <n v="-37680.438824105921"/>
    <n v="0"/>
    <n v="0"/>
    <n v="0"/>
    <n v="-37680.438824105921"/>
  </r>
  <r>
    <x v="5"/>
    <d v="2019-07-03T00:00:00"/>
    <d v="2019-07-18T00:00:00"/>
    <x v="15"/>
    <n v="9"/>
    <n v="100"/>
    <n v="904.88"/>
    <n v="564.18908876700141"/>
    <n v="56418.908876700138"/>
    <n v="90488"/>
    <n v="-34069.091123299862"/>
    <n v="-1478.4926730264781"/>
    <n v="-35547.58379632634"/>
    <n v="0"/>
    <n v="0"/>
    <n v="0"/>
    <n v="-35547.58379632634"/>
  </r>
  <r>
    <x v="6"/>
    <d v="2019-08-05T00:00:00"/>
    <d v="2019-08-20T00:00:00"/>
    <x v="15"/>
    <n v="9"/>
    <n v="117"/>
    <n v="904.88"/>
    <n v="564.18908876700141"/>
    <n v="66010.123385739163"/>
    <n v="105870.96"/>
    <n v="-39860.836614260843"/>
    <n v="-1729.8364274409792"/>
    <n v="-41590.673041701819"/>
    <n v="0"/>
    <n v="0"/>
    <n v="0"/>
    <n v="-41590.673041701819"/>
  </r>
  <r>
    <x v="7"/>
    <d v="2019-09-04T00:00:00"/>
    <d v="2019-09-19T00:00:00"/>
    <x v="15"/>
    <n v="9"/>
    <n v="116"/>
    <n v="798.4"/>
    <n v="564.18908876700141"/>
    <n v="65445.934296972162"/>
    <n v="92614.399999999994"/>
    <n v="-27168.465703027832"/>
    <n v="-1715.0515007107147"/>
    <n v="-28883.517203738546"/>
    <n v="0"/>
    <n v="0"/>
    <n v="0"/>
    <n v="-28883.517203738546"/>
  </r>
  <r>
    <x v="8"/>
    <d v="2019-10-03T00:00:00"/>
    <d v="2019-10-18T00:00:00"/>
    <x v="15"/>
    <n v="9"/>
    <n v="113"/>
    <n v="798.4"/>
    <n v="564.18908876700141"/>
    <n v="63753.367030671157"/>
    <n v="90219.199999999997"/>
    <n v="-26465.83296932884"/>
    <n v="-1670.6967205199201"/>
    <n v="-28136.529689848761"/>
    <n v="0"/>
    <n v="0"/>
    <n v="0"/>
    <n v="-28136.529689848761"/>
  </r>
  <r>
    <x v="9"/>
    <d v="2019-11-05T00:00:00"/>
    <d v="2019-11-20T00:00:00"/>
    <x v="15"/>
    <n v="9"/>
    <n v="113"/>
    <n v="798.4"/>
    <n v="564.18908876700141"/>
    <n v="63753.367030671157"/>
    <n v="90219.199999999997"/>
    <n v="-26465.83296932884"/>
    <n v="-1670.6967205199201"/>
    <n v="-28136.529689848761"/>
    <n v="0"/>
    <n v="0"/>
    <n v="0"/>
    <n v="-28136.529689848761"/>
  </r>
  <r>
    <x v="10"/>
    <d v="2019-12-04T00:00:00"/>
    <d v="2019-12-19T00:00:00"/>
    <x v="15"/>
    <n v="9"/>
    <n v="104"/>
    <n v="798.4"/>
    <n v="564.18908876700141"/>
    <n v="58675.665231768144"/>
    <n v="83033.599999999991"/>
    <n v="-24357.934768231848"/>
    <n v="-1537.6323799475374"/>
    <n v="-25895.567148179383"/>
    <n v="0"/>
    <n v="0"/>
    <n v="0"/>
    <n v="-25895.567148179383"/>
  </r>
  <r>
    <x v="11"/>
    <d v="2020-01-03T00:00:00"/>
    <d v="2020-01-20T00:00:00"/>
    <x v="15"/>
    <n v="9"/>
    <n v="41"/>
    <n v="798.4"/>
    <n v="564.18908876700141"/>
    <n v="23131.752639447059"/>
    <n v="32734.399999999998"/>
    <n v="-9602.6473605529391"/>
    <n v="-606.18199594085604"/>
    <n v="-10208.829356493796"/>
    <n v="0"/>
    <n v="0"/>
    <n v="0"/>
    <n v="-10208.8293564937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9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21">
        <item m="1" x="45"/>
        <item m="1" x="63"/>
        <item m="1" x="81"/>
        <item m="1" x="99"/>
        <item m="1" x="117"/>
        <item m="1" x="27"/>
        <item m="1" x="54"/>
        <item m="1" x="72"/>
        <item m="1" x="90"/>
        <item m="1" x="108"/>
        <item m="1" x="18"/>
        <item m="1" x="36"/>
        <item m="1" x="46"/>
        <item m="1" x="64"/>
        <item m="1" x="82"/>
        <item m="1" x="100"/>
        <item m="1" x="118"/>
        <item m="1" x="28"/>
        <item m="1" x="55"/>
        <item m="1" x="73"/>
        <item m="1" x="91"/>
        <item m="1" x="109"/>
        <item m="1" x="19"/>
        <item m="1" x="37"/>
        <item m="1" x="47"/>
        <item m="1" x="65"/>
        <item m="1" x="83"/>
        <item m="1" x="101"/>
        <item m="1" x="119"/>
        <item m="1" x="29"/>
        <item m="1" x="56"/>
        <item m="1" x="74"/>
        <item m="1" x="92"/>
        <item m="1" x="110"/>
        <item m="1" x="20"/>
        <item m="1" x="38"/>
        <item m="1" x="48"/>
        <item m="1" x="66"/>
        <item m="1" x="84"/>
        <item m="1" x="102"/>
        <item m="1" x="12"/>
        <item m="1" x="30"/>
        <item m="1" x="57"/>
        <item m="1" x="75"/>
        <item m="1" x="93"/>
        <item m="1" x="111"/>
        <item m="1" x="21"/>
        <item m="1" x="39"/>
        <item m="1" x="49"/>
        <item m="1" x="67"/>
        <item m="1" x="85"/>
        <item m="1" x="103"/>
        <item m="1" x="13"/>
        <item m="1" x="31"/>
        <item m="1" x="58"/>
        <item m="1" x="76"/>
        <item m="1" x="94"/>
        <item m="1" x="112"/>
        <item m="1" x="22"/>
        <item m="1" x="40"/>
        <item m="1" x="50"/>
        <item m="1" x="68"/>
        <item m="1" x="86"/>
        <item m="1" x="104"/>
        <item m="1" x="14"/>
        <item m="1" x="32"/>
        <item m="1" x="59"/>
        <item m="1" x="77"/>
        <item m="1" x="95"/>
        <item m="1" x="113"/>
        <item m="1" x="23"/>
        <item m="1" x="41"/>
        <item m="1" x="51"/>
        <item m="1" x="69"/>
        <item m="1" x="87"/>
        <item m="1" x="105"/>
        <item m="1" x="15"/>
        <item m="1" x="33"/>
        <item m="1" x="60"/>
        <item m="1" x="78"/>
        <item m="1" x="96"/>
        <item m="1" x="114"/>
        <item m="1" x="24"/>
        <item m="1" x="42"/>
        <item m="1" x="52"/>
        <item m="1" x="70"/>
        <item m="1" x="88"/>
        <item m="1" x="106"/>
        <item m="1" x="16"/>
        <item m="1" x="34"/>
        <item m="1" x="61"/>
        <item m="1" x="79"/>
        <item m="1" x="97"/>
        <item m="1" x="115"/>
        <item m="1" x="25"/>
        <item m="1" x="43"/>
        <item m="1" x="53"/>
        <item m="1" x="71"/>
        <item m="1" x="89"/>
        <item m="1" x="107"/>
        <item m="1" x="17"/>
        <item m="1" x="35"/>
        <item m="1" x="62"/>
        <item m="1" x="80"/>
        <item m="1" x="98"/>
        <item m="1" x="116"/>
        <item m="1" x="26"/>
        <item m="1" x="4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IV65536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65</v>
      </c>
    </row>
    <row r="3" spans="1:2" x14ac:dyDescent="0.25">
      <c r="A3" s="2">
        <v>1</v>
      </c>
      <c r="B3" s="3" t="s">
        <v>67</v>
      </c>
    </row>
    <row r="4" spans="1:2" ht="13" x14ac:dyDescent="0.3">
      <c r="A4" s="2">
        <v>2</v>
      </c>
      <c r="B4" s="3" t="s">
        <v>66</v>
      </c>
    </row>
    <row r="5" spans="1:2" ht="13" x14ac:dyDescent="0.3">
      <c r="A5" s="2">
        <v>3</v>
      </c>
      <c r="B5" s="3" t="s">
        <v>68</v>
      </c>
    </row>
    <row r="6" spans="1:2" ht="13" x14ac:dyDescent="0.3">
      <c r="A6" s="2">
        <v>4</v>
      </c>
      <c r="B6" s="4" t="s">
        <v>82</v>
      </c>
    </row>
    <row r="7" spans="1:2" x14ac:dyDescent="0.25">
      <c r="A7" s="2">
        <v>5</v>
      </c>
      <c r="B7" s="3" t="s">
        <v>69</v>
      </c>
    </row>
    <row r="8" spans="1:2" x14ac:dyDescent="0.25">
      <c r="A8" s="2">
        <v>6</v>
      </c>
      <c r="B8" s="3" t="s">
        <v>70</v>
      </c>
    </row>
    <row r="9" spans="1:2" x14ac:dyDescent="0.25">
      <c r="A9" s="2">
        <v>7</v>
      </c>
      <c r="B9" s="5" t="s">
        <v>71</v>
      </c>
    </row>
    <row r="10" spans="1:2" ht="13" x14ac:dyDescent="0.3">
      <c r="A10" s="2">
        <v>8</v>
      </c>
      <c r="B10" s="3" t="s">
        <v>74</v>
      </c>
    </row>
    <row r="11" spans="1:2" x14ac:dyDescent="0.25">
      <c r="A11" s="2"/>
      <c r="B11" s="3" t="s">
        <v>75</v>
      </c>
    </row>
    <row r="12" spans="1:2" x14ac:dyDescent="0.25">
      <c r="A12" s="2"/>
      <c r="B12" s="5" t="s">
        <v>76</v>
      </c>
    </row>
    <row r="13" spans="1:2" x14ac:dyDescent="0.25">
      <c r="A13" s="2"/>
      <c r="B13" s="5" t="s">
        <v>77</v>
      </c>
    </row>
    <row r="14" spans="1:2" x14ac:dyDescent="0.25">
      <c r="A14" s="2">
        <v>9</v>
      </c>
      <c r="B14" s="3" t="s">
        <v>78</v>
      </c>
    </row>
    <row r="15" spans="1:2" x14ac:dyDescent="0.25">
      <c r="A15" s="2">
        <v>10</v>
      </c>
      <c r="B15" s="3" t="s">
        <v>80</v>
      </c>
    </row>
    <row r="16" spans="1:2" x14ac:dyDescent="0.25">
      <c r="A16" s="2">
        <v>11</v>
      </c>
      <c r="B16" s="3" t="s">
        <v>81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tabSelected="1" zoomScale="85" zoomScaleNormal="85" zoomScaleSheetLayoutView="100" workbookViewId="0">
      <selection activeCell="B6" sqref="B6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57" t="str">
        <f>+Transactions!B1</f>
        <v>AEPTCo Formula Rate -- FERC Docket ER18-194</v>
      </c>
      <c r="D1" s="257"/>
      <c r="E1" s="257"/>
      <c r="F1" s="257"/>
      <c r="G1" s="257"/>
      <c r="H1" s="257"/>
      <c r="I1" s="257"/>
      <c r="L1" s="6">
        <v>2020</v>
      </c>
    </row>
    <row r="2" spans="2:19" ht="13" x14ac:dyDescent="0.3">
      <c r="C2" s="257" t="s">
        <v>36</v>
      </c>
      <c r="D2" s="257"/>
      <c r="E2" s="257"/>
      <c r="F2" s="257"/>
      <c r="G2" s="257"/>
      <c r="H2" s="257"/>
      <c r="I2" s="257"/>
    </row>
    <row r="3" spans="2:19" ht="13" x14ac:dyDescent="0.3">
      <c r="C3" s="257" t="str">
        <f>"for period 01/01/"&amp;F8&amp;" - 12/31/"&amp;F8</f>
        <v>for period 01/01/2019 - 12/31/2019</v>
      </c>
      <c r="D3" s="257"/>
      <c r="E3" s="257"/>
      <c r="F3" s="257"/>
      <c r="G3" s="257"/>
      <c r="H3" s="257"/>
      <c r="I3" s="257"/>
    </row>
    <row r="4" spans="2:19" ht="13" x14ac:dyDescent="0.3">
      <c r="C4" s="257" t="s">
        <v>85</v>
      </c>
      <c r="D4" s="257"/>
      <c r="E4" s="257"/>
      <c r="F4" s="257"/>
      <c r="G4" s="257"/>
      <c r="H4" s="257"/>
      <c r="I4" s="257"/>
    </row>
    <row r="5" spans="2:19" x14ac:dyDescent="0.25">
      <c r="C5" s="7" t="str">
        <f>"Prepared:  May 22_, "&amp;L1&amp;""</f>
        <v>Prepared:  May 22_, 2020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2019</v>
      </c>
    </row>
    <row r="9" spans="2:19" ht="20.25" customHeight="1" x14ac:dyDescent="0.3">
      <c r="E9" s="12" t="s">
        <v>97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2019 Projections 2019)</v>
      </c>
      <c r="F10" s="18" t="str">
        <f>"(per "&amp;F8+1&amp;" Update of May "&amp;F8+1&amp;")"</f>
        <v>(per 2020 Update of May 2020)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80421071.564677551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43</v>
      </c>
      <c r="E12" s="30"/>
      <c r="F12" s="31">
        <f>+Transactions!J2</f>
        <v>58234469.364352345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798.4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42</v>
      </c>
      <c r="E14" s="44"/>
      <c r="F14" s="45">
        <f>+Transactions!J3</f>
        <v>564.18908876700141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96</v>
      </c>
      <c r="I19" s="56" t="s">
        <v>95</v>
      </c>
      <c r="J19" s="57" t="s">
        <v>98</v>
      </c>
      <c r="K19" s="58" t="s">
        <v>99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52</v>
      </c>
      <c r="D20" s="60" t="str">
        <f>"Actual Charge
("&amp;F8&amp;" True-Up)"</f>
        <v>Actual Charge
(2019 True-Up)</v>
      </c>
      <c r="E20" s="61" t="str">
        <f>"Invoiced for
CY"&amp;F8&amp;" Transmission Service"</f>
        <v>Invoiced for
CY2019 Transmission Service</v>
      </c>
      <c r="F20" s="60" t="s">
        <v>41</v>
      </c>
      <c r="G20" s="62" t="s">
        <v>7</v>
      </c>
      <c r="H20" s="62" t="s">
        <v>90</v>
      </c>
      <c r="I20" s="63" t="s">
        <v>46</v>
      </c>
      <c r="J20" s="64" t="s">
        <v>100</v>
      </c>
      <c r="K20" s="65" t="s">
        <v>103</v>
      </c>
      <c r="N20" s="52"/>
      <c r="O20" s="53"/>
      <c r="P20" s="53"/>
      <c r="Q20" s="53"/>
      <c r="R20" s="53"/>
      <c r="S20" s="53"/>
    </row>
    <row r="21" spans="2:19" x14ac:dyDescent="0.25">
      <c r="B21" s="66"/>
      <c r="C21" s="67" t="s">
        <v>14</v>
      </c>
      <c r="D21" s="68">
        <f>GETPIVOTDATA("Sum of "&amp;T(Transactions!$J$19),Pivot!$A$3,"Customer",C21)</f>
        <v>5183205.1585024428</v>
      </c>
      <c r="E21" s="68">
        <f>GETPIVOTDATA("Sum of "&amp;T(Transactions!$K$19),Pivot!$A$3,"Customer",C21)</f>
        <v>7891578.2399999993</v>
      </c>
      <c r="F21" s="68">
        <f>D21-E21</f>
        <v>-2708373.0814975565</v>
      </c>
      <c r="G21" s="53">
        <f>+GETPIVOTDATA("Sum of "&amp;T(Transactions!$M$19),Pivot!$A$3,"Customer","AECC")</f>
        <v>-135829.12187094253</v>
      </c>
      <c r="H21" s="53">
        <f>GETPIVOTDATA("Sum of "&amp;T(Transactions!$Q$19),Pivot!$A$3,"Customer","AECC")</f>
        <v>0</v>
      </c>
      <c r="I21" s="69">
        <f>F21+G21-H21</f>
        <v>-2844202.2033684989</v>
      </c>
      <c r="J21" s="70"/>
      <c r="K21" s="71">
        <f>I21+J21</f>
        <v>-2844202.2033684989</v>
      </c>
      <c r="L21" s="66"/>
      <c r="N21" s="52"/>
      <c r="O21" s="53"/>
      <c r="P21" s="53"/>
      <c r="Q21" s="53"/>
      <c r="R21" s="53"/>
      <c r="S21" s="53"/>
    </row>
    <row r="22" spans="2:19" x14ac:dyDescent="0.25">
      <c r="B22" s="66"/>
      <c r="C22" s="72" t="s">
        <v>87</v>
      </c>
      <c r="D22" s="68">
        <f>GETPIVOTDATA("Sum of "&amp;T(Transactions!$J$19),Pivot!$A$3,"Customer",C22)</f>
        <v>269682.38443062664</v>
      </c>
      <c r="E22" s="68">
        <f>GETPIVOTDATA("Sum of "&amp;T(Transactions!$K$19),Pivot!$A$3,"Customer",C22)</f>
        <v>410384.8</v>
      </c>
      <c r="F22" s="68">
        <f>D22-E22</f>
        <v>-140702.41556937335</v>
      </c>
      <c r="G22" s="53">
        <f>+GETPIVOTDATA("Sum of "&amp;T(Transactions!$M$19),Pivot!$A$3,"Customer","AECI")</f>
        <v>-7067.1949770665651</v>
      </c>
      <c r="H22" s="53">
        <f>GETPIVOTDATA("Sum of "&amp;T(Transactions!$Q$19),Pivot!$A$3,"Customer",C22)</f>
        <v>0</v>
      </c>
      <c r="I22" s="69">
        <f t="shared" ref="I22:I33" si="0">F22+G22-H22</f>
        <v>-147769.61054643992</v>
      </c>
      <c r="J22" s="70"/>
      <c r="K22" s="71">
        <f t="shared" ref="K22:K39" si="1">I22+J22</f>
        <v>-147769.61054643992</v>
      </c>
      <c r="L22" s="66"/>
      <c r="N22" s="52"/>
      <c r="O22" s="53"/>
      <c r="P22" s="53"/>
      <c r="Q22" s="53"/>
      <c r="R22" s="53"/>
      <c r="S22" s="53"/>
    </row>
    <row r="23" spans="2:19" x14ac:dyDescent="0.25">
      <c r="B23" s="66"/>
      <c r="C23" s="72" t="s">
        <v>56</v>
      </c>
      <c r="D23" s="68">
        <f>GETPIVOTDATA("Sum of "&amp;T(Transactions!$J$19),Pivot!$A$3,"Customer",C23)</f>
        <v>851925.52403817233</v>
      </c>
      <c r="E23" s="68">
        <f>GETPIVOTDATA("Sum of "&amp;T(Transactions!$K$19),Pivot!$A$3,"Customer",C23)</f>
        <v>1296943.8400000001</v>
      </c>
      <c r="F23" s="68">
        <f t="shared" ref="F23:F35" si="2">D23-E23</f>
        <v>-445018.31596182776</v>
      </c>
      <c r="G23" s="53">
        <f>+GETPIVOTDATA("Sum of "&amp;T(Transactions!$M$19),Pivot!$A$3,"Customer","Bentonville, AR")</f>
        <v>-22325.239362699824</v>
      </c>
      <c r="H23" s="53">
        <f>GETPIVOTDATA("Sum of "&amp;T(Transactions!$Q$19),Pivot!$A$3,"Customer",C23)</f>
        <v>0</v>
      </c>
      <c r="I23" s="69">
        <f t="shared" si="0"/>
        <v>-467343.55532452755</v>
      </c>
      <c r="J23" s="70"/>
      <c r="K23" s="71">
        <f t="shared" si="1"/>
        <v>-467343.55532452755</v>
      </c>
      <c r="L23" s="66"/>
      <c r="N23" s="52"/>
      <c r="O23" s="53"/>
      <c r="P23" s="53"/>
      <c r="Q23" s="53"/>
      <c r="R23" s="53"/>
      <c r="S23" s="53"/>
    </row>
    <row r="24" spans="2:19" x14ac:dyDescent="0.25">
      <c r="B24" s="66"/>
      <c r="C24" s="67" t="s">
        <v>17</v>
      </c>
      <c r="D24" s="68">
        <f>GETPIVOTDATA("Sum of "&amp;T(Transactions!$J$19),Pivot!$A$3,"Customer",C24)</f>
        <v>691695.82282834372</v>
      </c>
      <c r="E24" s="68">
        <f>GETPIVOTDATA("Sum of "&amp;T(Transactions!$K$19),Pivot!$A$3,"Customer",C24)</f>
        <v>1057527.1199999999</v>
      </c>
      <c r="F24" s="68">
        <f t="shared" si="2"/>
        <v>-365831.29717165616</v>
      </c>
      <c r="G24" s="53">
        <f>+GETPIVOTDATA("Sum of "&amp;T(Transactions!$M$19),Pivot!$A$3,"Customer","Coffeyville, KS")</f>
        <v>-18126.320171304622</v>
      </c>
      <c r="H24" s="53">
        <f>GETPIVOTDATA("Sum of "&amp;T(Transactions!$Q$19),Pivot!$A$3,"Customer",C24)</f>
        <v>0</v>
      </c>
      <c r="I24" s="69">
        <f t="shared" si="0"/>
        <v>-383957.61734296079</v>
      </c>
      <c r="J24" s="70"/>
      <c r="K24" s="71">
        <f t="shared" si="1"/>
        <v>-383957.61734296079</v>
      </c>
      <c r="L24" s="66"/>
      <c r="N24" s="52"/>
      <c r="O24" s="53"/>
      <c r="P24" s="53"/>
      <c r="Q24" s="53"/>
      <c r="R24" s="53"/>
      <c r="S24" s="53"/>
    </row>
    <row r="25" spans="2:19" x14ac:dyDescent="0.25">
      <c r="B25" s="66"/>
      <c r="C25" s="72" t="s">
        <v>13</v>
      </c>
      <c r="D25" s="68">
        <f>GETPIVOTDATA("Sum of "&amp;T(Transactions!$J$19),Pivot!$A$3,"Customer",C25)</f>
        <v>5961221.9119121358</v>
      </c>
      <c r="E25" s="68">
        <f>GETPIVOTDATA("Sum of "&amp;T(Transactions!$K$19),Pivot!$A$3,"Customer",C25)</f>
        <v>9064019.9199999999</v>
      </c>
      <c r="F25" s="68">
        <f t="shared" si="2"/>
        <v>-3102798.0080878641</v>
      </c>
      <c r="G25" s="53">
        <f>+GETPIVOTDATA("Sum of "&amp;T(Transactions!$M$19),Pivot!$A$3,"Customer","ETEC")</f>
        <v>-156217.53583197767</v>
      </c>
      <c r="H25" s="53">
        <f>GETPIVOTDATA("Sum of "&amp;T(Transactions!$Q$19),Pivot!$A$3,"Customer",C25)</f>
        <v>0</v>
      </c>
      <c r="I25" s="69">
        <f t="shared" si="0"/>
        <v>-3259015.5439198418</v>
      </c>
      <c r="J25" s="70"/>
      <c r="K25" s="71">
        <f t="shared" si="1"/>
        <v>-3259015.5439198418</v>
      </c>
      <c r="L25" s="66"/>
      <c r="N25" s="54"/>
      <c r="O25" s="53"/>
      <c r="P25" s="53"/>
      <c r="Q25" s="53"/>
      <c r="R25" s="53"/>
      <c r="S25" s="53"/>
    </row>
    <row r="26" spans="2:19" x14ac:dyDescent="0.25">
      <c r="B26" s="66"/>
      <c r="C26" s="67" t="s">
        <v>15</v>
      </c>
      <c r="D26" s="68">
        <f>GETPIVOTDATA("Sum of "&amp;T(Transactions!$J$19),Pivot!$A$3,"Customer",C26)</f>
        <v>58111.476143001149</v>
      </c>
      <c r="E26" s="68">
        <f>GETPIVOTDATA("Sum of "&amp;T(Transactions!$K$19),Pivot!$A$3,"Customer",C26)</f>
        <v>87985.12</v>
      </c>
      <c r="F26" s="68">
        <f t="shared" si="2"/>
        <v>-29873.643856998846</v>
      </c>
      <c r="G26" s="53">
        <f>+GETPIVOTDATA("Sum of "&amp;T(Transactions!$M$19),Pivot!$A$3,"Customer","Greenbelt")</f>
        <v>-1522.8474532172725</v>
      </c>
      <c r="H26" s="53">
        <f>GETPIVOTDATA("Sum of "&amp;T(Transactions!$Q$19),Pivot!$A$3,"Customer",C26)</f>
        <v>0</v>
      </c>
      <c r="I26" s="69">
        <f t="shared" si="0"/>
        <v>-31396.491310216119</v>
      </c>
      <c r="J26" s="70"/>
      <c r="K26" s="71">
        <f t="shared" si="1"/>
        <v>-31396.491310216119</v>
      </c>
      <c r="L26" s="66"/>
      <c r="M26" s="73"/>
      <c r="N26" s="73"/>
      <c r="O26" s="73"/>
      <c r="P26" s="73"/>
      <c r="Q26" s="53"/>
      <c r="R26" s="53"/>
      <c r="S26" s="53"/>
    </row>
    <row r="27" spans="2:19" x14ac:dyDescent="0.25">
      <c r="B27" s="66"/>
      <c r="C27" s="67" t="s">
        <v>59</v>
      </c>
      <c r="D27" s="68">
        <f>GETPIVOTDATA("Sum of "&amp;T(Transactions!$J$19),Pivot!$A$3,"Customer",C27)</f>
        <v>305226.29702294781</v>
      </c>
      <c r="E27" s="68">
        <f>GETPIVOTDATA("Sum of "&amp;T(Transactions!$K$19),Pivot!$A$3,"Customer",C27)</f>
        <v>466007.99999999994</v>
      </c>
      <c r="F27" s="68">
        <f t="shared" si="2"/>
        <v>-160781.70297705213</v>
      </c>
      <c r="G27" s="53">
        <f>+GETPIVOTDATA("Sum of "&amp;T(Transactions!$M$19),Pivot!$A$3,"Customer","Hope, AR")</f>
        <v>-7998.645361073246</v>
      </c>
      <c r="H27" s="53">
        <f>GETPIVOTDATA("Sum of "&amp;T(Transactions!$Q$19),Pivot!$A$3,"Customer",C27)</f>
        <v>0</v>
      </c>
      <c r="I27" s="69">
        <f t="shared" si="0"/>
        <v>-168780.34833812539</v>
      </c>
      <c r="J27" s="70"/>
      <c r="K27" s="71">
        <f t="shared" si="1"/>
        <v>-168780.34833812539</v>
      </c>
      <c r="L27" s="66"/>
      <c r="M27" s="73"/>
      <c r="N27" s="73"/>
      <c r="O27" s="73"/>
      <c r="P27" s="73"/>
      <c r="Q27" s="53"/>
      <c r="R27" s="53"/>
      <c r="S27" s="53"/>
    </row>
    <row r="28" spans="2:19" x14ac:dyDescent="0.25">
      <c r="B28" s="66"/>
      <c r="C28" s="67" t="s">
        <v>16</v>
      </c>
      <c r="D28" s="68">
        <f>GETPIVOTDATA("Sum of "&amp;T(Transactions!$J$19),Pivot!$A$3,"Customer",C28)</f>
        <v>22003.374461913056</v>
      </c>
      <c r="E28" s="68">
        <f>GETPIVOTDATA("Sum of "&amp;T(Transactions!$K$19),Pivot!$A$3,"Customer",C28)</f>
        <v>33267.199999999997</v>
      </c>
      <c r="F28" s="68">
        <f t="shared" si="2"/>
        <v>-11263.825538086941</v>
      </c>
      <c r="G28" s="53">
        <f>+GETPIVOTDATA("Sum of "&amp;T(Transactions!$M$19),Pivot!$A$3,"Customer","Lighthouse")</f>
        <v>-576.6121424803265</v>
      </c>
      <c r="H28" s="53">
        <f>GETPIVOTDATA("Sum of "&amp;T(Transactions!$Q$19),Pivot!$A$3,"Customer",C28)</f>
        <v>0</v>
      </c>
      <c r="I28" s="69">
        <f t="shared" si="0"/>
        <v>-11840.437680567267</v>
      </c>
      <c r="J28" s="70"/>
      <c r="K28" s="71">
        <f t="shared" si="1"/>
        <v>-11840.437680567267</v>
      </c>
      <c r="L28" s="66"/>
      <c r="N28" s="52"/>
      <c r="O28" s="53"/>
      <c r="P28" s="53"/>
      <c r="Q28" s="53"/>
      <c r="R28" s="53"/>
      <c r="S28" s="53"/>
    </row>
    <row r="29" spans="2:19" x14ac:dyDescent="0.25">
      <c r="B29" s="66"/>
      <c r="C29" s="72" t="s">
        <v>58</v>
      </c>
      <c r="D29" s="68">
        <f>GETPIVOTDATA("Sum of "&amp;T(Transactions!$J$19),Pivot!$A$3,"Customer",C29)</f>
        <v>183361.45384927545</v>
      </c>
      <c r="E29" s="68">
        <f>GETPIVOTDATA("Sum of "&amp;T(Transactions!$K$19),Pivot!$A$3,"Customer",C29)</f>
        <v>278539.92000000004</v>
      </c>
      <c r="F29" s="68">
        <f t="shared" si="2"/>
        <v>-95178.466150724591</v>
      </c>
      <c r="G29" s="53">
        <f>+GETPIVOTDATA("Sum of "&amp;T(Transactions!$M$19),Pivot!$A$3,"Customer","Minden, LA")</f>
        <v>-4805.101187336054</v>
      </c>
      <c r="H29" s="53">
        <f>GETPIVOTDATA("Sum of "&amp;T(Transactions!$Q$19),Pivot!$A$3,"Customer",C29)</f>
        <v>0</v>
      </c>
      <c r="I29" s="69">
        <f t="shared" si="0"/>
        <v>-99983.567338060646</v>
      </c>
      <c r="J29" s="70"/>
      <c r="K29" s="71">
        <f t="shared" si="1"/>
        <v>-99983.567338060646</v>
      </c>
      <c r="L29" s="66"/>
      <c r="N29" s="52"/>
      <c r="O29" s="53"/>
      <c r="P29" s="53"/>
      <c r="Q29" s="53"/>
      <c r="R29" s="53"/>
      <c r="S29" s="53"/>
    </row>
    <row r="30" spans="2:19" x14ac:dyDescent="0.25">
      <c r="B30" s="66"/>
      <c r="C30" s="72" t="s">
        <v>19</v>
      </c>
      <c r="D30" s="68">
        <f>GETPIVOTDATA("Sum of "&amp;T(Transactions!$J$19),Pivot!$A$3,"Customer",C30)</f>
        <v>280966.16620596667</v>
      </c>
      <c r="E30" s="68">
        <f>GETPIVOTDATA("Sum of "&amp;T(Transactions!$K$19),Pivot!$A$3,"Customer",C30)</f>
        <v>427737.04000000004</v>
      </c>
      <c r="F30" s="68">
        <f t="shared" si="2"/>
        <v>-146770.87379403337</v>
      </c>
      <c r="G30" s="53">
        <f>+GETPIVOTDATA("Sum of "&amp;T(Transactions!$M$19),Pivot!$A$3,"Customer","OG&amp;E")</f>
        <v>-7362.8935116718603</v>
      </c>
      <c r="H30" s="53">
        <f>GETPIVOTDATA("Sum of "&amp;T(Transactions!$Q$19),Pivot!$A$3,"Customer",C30)</f>
        <v>0</v>
      </c>
      <c r="I30" s="69">
        <f t="shared" si="0"/>
        <v>-154133.76730570523</v>
      </c>
      <c r="J30" s="70"/>
      <c r="K30" s="71">
        <f t="shared" si="1"/>
        <v>-154133.76730570523</v>
      </c>
      <c r="L30" s="66"/>
    </row>
    <row r="31" spans="2:19" x14ac:dyDescent="0.25">
      <c r="B31" s="66"/>
      <c r="C31" s="67" t="s">
        <v>8</v>
      </c>
      <c r="D31" s="68">
        <f>GETPIVOTDATA("Sum of "&amp;T(Transactions!$J$19),Pivot!$A$3,"Customer",C31)</f>
        <v>723854.60088806285</v>
      </c>
      <c r="E31" s="68">
        <f>GETPIVOTDATA("Sum of "&amp;T(Transactions!$K$19),Pivot!$A$3,"Customer",C31)</f>
        <v>1099096.1599999999</v>
      </c>
      <c r="F31" s="68">
        <f t="shared" si="2"/>
        <v>-375241.55911193707</v>
      </c>
      <c r="G31" s="53">
        <f>+GETPIVOTDATA("Sum of "&amp;T(Transactions!$M$19),Pivot!$A$3,"Customer","OMPA")</f>
        <v>-18969.060994929714</v>
      </c>
      <c r="H31" s="53">
        <f>GETPIVOTDATA("Sum of "&amp;T(Transactions!$Q$19),Pivot!$A$3,"Customer",C31)</f>
        <v>0</v>
      </c>
      <c r="I31" s="69">
        <f t="shared" si="0"/>
        <v>-394210.62010686676</v>
      </c>
      <c r="J31" s="70"/>
      <c r="K31" s="71">
        <f t="shared" si="1"/>
        <v>-394210.62010686676</v>
      </c>
      <c r="L31" s="66"/>
    </row>
    <row r="32" spans="2:19" x14ac:dyDescent="0.25">
      <c r="B32" s="66"/>
      <c r="C32" s="67" t="s">
        <v>57</v>
      </c>
      <c r="D32" s="68">
        <f>GETPIVOTDATA("Sum of "&amp;T(Transactions!$J$19),Pivot!$A$3,"Customer",C32)</f>
        <v>79550.6615161472</v>
      </c>
      <c r="E32" s="68">
        <f>GETPIVOTDATA("Sum of "&amp;T(Transactions!$K$19),Pivot!$A$3,"Customer",C32)</f>
        <v>121199.28</v>
      </c>
      <c r="F32" s="68">
        <f t="shared" si="2"/>
        <v>-41648.618483852799</v>
      </c>
      <c r="G32" s="53">
        <f>+GETPIVOTDATA("Sum of "&amp;T(Transactions!$M$19),Pivot!$A$3,"Customer","Prescott, AR")</f>
        <v>-2084.6746689673341</v>
      </c>
      <c r="H32" s="53">
        <f>GETPIVOTDATA("Sum of "&amp;T(Transactions!$Q$19),Pivot!$A$3,"Customer",C32)</f>
        <v>0</v>
      </c>
      <c r="I32" s="69">
        <f t="shared" si="0"/>
        <v>-43733.29315282013</v>
      </c>
      <c r="J32" s="70"/>
      <c r="K32" s="71">
        <f t="shared" si="1"/>
        <v>-43733.29315282013</v>
      </c>
      <c r="L32" s="66"/>
    </row>
    <row r="33" spans="2:13" x14ac:dyDescent="0.25">
      <c r="B33" s="66"/>
      <c r="C33" s="74" t="s">
        <v>9</v>
      </c>
      <c r="D33" s="68">
        <f>GETPIVOTDATA("Sum of "&amp;T(Transactions!$J$19),Pivot!$A$3,"Customer",C33)</f>
        <v>255013.46812268463</v>
      </c>
      <c r="E33" s="68">
        <f>GETPIVOTDATA("Sum of "&amp;T(Transactions!$K$19),Pivot!$A$3,"Customer",C33)</f>
        <v>388668.08</v>
      </c>
      <c r="F33" s="68">
        <f t="shared" si="2"/>
        <v>-133654.61187731539</v>
      </c>
      <c r="G33" s="53">
        <f>+GETPIVOTDATA("Sum of "&amp;T(Transactions!$M$19),Pivot!$A$3,"Customer","WFEC")</f>
        <v>-6682.7868820796803</v>
      </c>
      <c r="H33" s="53">
        <f>GETPIVOTDATA("Sum of "&amp;T(Transactions!$Q$19),Pivot!$A$3,"Customer",C33)</f>
        <v>0</v>
      </c>
      <c r="I33" s="69">
        <f t="shared" si="0"/>
        <v>-140337.39875939506</v>
      </c>
      <c r="J33" s="70"/>
      <c r="K33" s="71">
        <f t="shared" si="1"/>
        <v>-140337.39875939506</v>
      </c>
      <c r="L33" s="66"/>
    </row>
    <row r="34" spans="2:13" ht="23" x14ac:dyDescent="0.25">
      <c r="C34" s="75" t="s">
        <v>44</v>
      </c>
      <c r="D34" s="76">
        <f t="shared" ref="D34:J34" si="3">SUM(D21:D33)</f>
        <v>14865818.299921719</v>
      </c>
      <c r="E34" s="76">
        <f t="shared" si="3"/>
        <v>22622954.719999999</v>
      </c>
      <c r="F34" s="76">
        <f t="shared" si="3"/>
        <v>-7757136.4200782776</v>
      </c>
      <c r="G34" s="77">
        <f t="shared" si="3"/>
        <v>-389568.03441574663</v>
      </c>
      <c r="H34" s="77">
        <f t="shared" si="3"/>
        <v>0</v>
      </c>
      <c r="I34" s="78">
        <f t="shared" si="3"/>
        <v>-8146704.4544940256</v>
      </c>
      <c r="J34" s="79">
        <f t="shared" si="3"/>
        <v>0</v>
      </c>
      <c r="K34" s="80">
        <f t="shared" si="1"/>
        <v>-8146704.4544940256</v>
      </c>
    </row>
    <row r="35" spans="2:13" x14ac:dyDescent="0.25">
      <c r="C35" s="81" t="s">
        <v>21</v>
      </c>
      <c r="D35" s="68">
        <f>GETPIVOTDATA("Sum of "&amp;T(Transactions!$J$19),Pivot!$A$3,"Customer",C35)</f>
        <v>21362455.657073736</v>
      </c>
      <c r="E35" s="68">
        <f>GETPIVOTDATA("Sum of "&amp;T(Transactions!$K$19),Pivot!$A$3,"Customer",C35)</f>
        <v>32503859.120000001</v>
      </c>
      <c r="F35" s="68">
        <f t="shared" si="2"/>
        <v>-11141403.462926265</v>
      </c>
      <c r="G35" s="53">
        <f>+GETPIVOTDATA("Sum of "&amp;T(Transactions!$M$19),Pivot!$A$3,"Customer","PSO")</f>
        <v>-559816.46571474569</v>
      </c>
      <c r="H35" s="53">
        <f>GETPIVOTDATA("Sum of "&amp;T(Transactions!$Q$19),Pivot!$A$3,"Customer",C35)</f>
        <v>0</v>
      </c>
      <c r="I35" s="69">
        <f>F35+G35-H35</f>
        <v>-11701219.92864101</v>
      </c>
      <c r="J35" s="70"/>
      <c r="K35" s="71">
        <f t="shared" si="1"/>
        <v>-11701219.92864101</v>
      </c>
    </row>
    <row r="36" spans="2:13" x14ac:dyDescent="0.25">
      <c r="C36" s="82" t="s">
        <v>22</v>
      </c>
      <c r="D36" s="68">
        <f>GETPIVOTDATA("Sum of "&amp;T(Transactions!$J$19),Pivot!$A$3,"Customer",C36)</f>
        <v>21095030.028998185</v>
      </c>
      <c r="E36" s="68">
        <f>GETPIVOTDATA("Sum of "&amp;T(Transactions!$K$19),Pivot!$A$3,"Customer",C36)</f>
        <v>32107422.400000002</v>
      </c>
      <c r="F36" s="68">
        <f>D36-E36</f>
        <v>-11012392.371001817</v>
      </c>
      <c r="G36" s="53">
        <f>+GETPIVOTDATA("Sum of "&amp;T(Transactions!$M$19),Pivot!$A$3,"Customer","SWEPCO")</f>
        <v>-552808.41044460016</v>
      </c>
      <c r="H36" s="53">
        <f>GETPIVOTDATA("Sum of "&amp;T(Transactions!$Q$19),Pivot!$A$3,"Customer",C36)</f>
        <v>0</v>
      </c>
      <c r="I36" s="69">
        <f>F36+G36-H36</f>
        <v>-11565200.781446418</v>
      </c>
      <c r="J36" s="70"/>
      <c r="K36" s="71">
        <f t="shared" si="1"/>
        <v>-11565200.781446418</v>
      </c>
    </row>
    <row r="37" spans="2:13" x14ac:dyDescent="0.25">
      <c r="C37" s="83" t="s">
        <v>83</v>
      </c>
      <c r="D37" s="68">
        <f>GETPIVOTDATA("Sum of "&amp;T(Transactions!$J$19),Pivot!$A$3,"Customer",C37)</f>
        <v>911165.37835870718</v>
      </c>
      <c r="E37" s="68">
        <f>GETPIVOTDATA("Sum of "&amp;T(Transactions!$K$19),Pivot!$A$3,"Customer",C37)</f>
        <v>1385567.44</v>
      </c>
      <c r="F37" s="68">
        <f>D37-E37</f>
        <v>-474402.06164129276</v>
      </c>
      <c r="G37" s="53">
        <f>+GETPIVOTDATA("Sum of "&amp;T(Transactions!$M$19),Pivot!$A$3,"Customer","SWEPCO-Valley")</f>
        <v>-23877.656669377622</v>
      </c>
      <c r="H37" s="53">
        <f>GETPIVOTDATA("Sum of "&amp;T(Transactions!$Q$19),Pivot!$A$3,"Customer",C37)</f>
        <v>0</v>
      </c>
      <c r="I37" s="69">
        <f>F37+G37-H37</f>
        <v>-498279.7183106704</v>
      </c>
      <c r="J37" s="70"/>
      <c r="K37" s="71">
        <f t="shared" si="1"/>
        <v>-498279.7183106704</v>
      </c>
    </row>
    <row r="38" spans="2:13" ht="23" x14ac:dyDescent="0.25">
      <c r="C38" s="84" t="s">
        <v>53</v>
      </c>
      <c r="D38" s="85">
        <f t="shared" ref="D38:I38" si="4">SUM(D35:D37)</f>
        <v>43368651.064430624</v>
      </c>
      <c r="E38" s="85">
        <f t="shared" si="4"/>
        <v>65996848.960000001</v>
      </c>
      <c r="F38" s="85">
        <f t="shared" si="4"/>
        <v>-22628197.895569377</v>
      </c>
      <c r="G38" s="86">
        <f t="shared" si="4"/>
        <v>-1136502.5328287233</v>
      </c>
      <c r="H38" s="86">
        <f t="shared" si="4"/>
        <v>0</v>
      </c>
      <c r="I38" s="87">
        <f t="shared" si="4"/>
        <v>-23764700.428398095</v>
      </c>
      <c r="J38" s="88">
        <f>SUM(J35:J37)</f>
        <v>0</v>
      </c>
      <c r="K38" s="89">
        <f t="shared" si="1"/>
        <v>-23764700.428398095</v>
      </c>
    </row>
    <row r="39" spans="2:13" ht="23.25" customHeight="1" thickBot="1" x14ac:dyDescent="0.3">
      <c r="C39" s="90" t="s">
        <v>45</v>
      </c>
      <c r="D39" s="91">
        <f t="shared" ref="D39:I39" si="5">SUM(D34,D38)</f>
        <v>58234469.364352345</v>
      </c>
      <c r="E39" s="92">
        <f t="shared" si="5"/>
        <v>88619803.680000007</v>
      </c>
      <c r="F39" s="91">
        <f t="shared" si="5"/>
        <v>-30385334.315647654</v>
      </c>
      <c r="G39" s="92">
        <f t="shared" si="5"/>
        <v>-1526070.5672444699</v>
      </c>
      <c r="H39" s="92">
        <f t="shared" si="5"/>
        <v>0</v>
      </c>
      <c r="I39" s="93">
        <f t="shared" si="5"/>
        <v>-31911404.882892121</v>
      </c>
      <c r="J39" s="94">
        <f>SUM(J34,J38)</f>
        <v>0</v>
      </c>
      <c r="K39" s="95">
        <f t="shared" si="1"/>
        <v>-31911404.882892121</v>
      </c>
      <c r="M39" s="96"/>
    </row>
    <row r="40" spans="2:13" x14ac:dyDescent="0.25">
      <c r="E40" s="52"/>
      <c r="F40" s="52"/>
      <c r="G40" s="52"/>
      <c r="H40" s="52"/>
    </row>
    <row r="41" spans="2:13" x14ac:dyDescent="0.25">
      <c r="D41" s="254"/>
    </row>
    <row r="42" spans="2:13" x14ac:dyDescent="0.25">
      <c r="D42" s="255"/>
      <c r="K42" s="253"/>
    </row>
    <row r="45" spans="2:13" x14ac:dyDescent="0.25">
      <c r="D45" s="256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8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6"/>
  <sheetViews>
    <sheetView tabSelected="1" zoomScale="85" workbookViewId="0">
      <pane xSplit="2" ySplit="4" topLeftCell="I100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1.1796875" style="1" bestFit="1" customWidth="1"/>
    <col min="16" max="16384" width="8.7265625" style="1"/>
  </cols>
  <sheetData>
    <row r="3" spans="1:15" x14ac:dyDescent="0.25">
      <c r="A3" s="98"/>
      <c r="B3" s="99"/>
      <c r="C3" s="100" t="s">
        <v>55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1"/>
    </row>
    <row r="4" spans="1:15" x14ac:dyDescent="0.25">
      <c r="A4" s="100" t="s">
        <v>0</v>
      </c>
      <c r="B4" s="100" t="s">
        <v>24</v>
      </c>
      <c r="C4" s="102">
        <v>43466</v>
      </c>
      <c r="D4" s="103">
        <v>43497</v>
      </c>
      <c r="E4" s="103">
        <v>43525</v>
      </c>
      <c r="F4" s="103">
        <v>43556</v>
      </c>
      <c r="G4" s="103">
        <v>43586</v>
      </c>
      <c r="H4" s="103">
        <v>43617</v>
      </c>
      <c r="I4" s="103">
        <v>43647</v>
      </c>
      <c r="J4" s="103">
        <v>43678</v>
      </c>
      <c r="K4" s="103">
        <v>43709</v>
      </c>
      <c r="L4" s="103">
        <v>43739</v>
      </c>
      <c r="M4" s="103">
        <v>43770</v>
      </c>
      <c r="N4" s="103">
        <v>43800</v>
      </c>
      <c r="O4" s="104" t="s">
        <v>18</v>
      </c>
    </row>
    <row r="5" spans="1:15" x14ac:dyDescent="0.25">
      <c r="A5" s="98" t="s">
        <v>14</v>
      </c>
      <c r="B5" s="98" t="s">
        <v>72</v>
      </c>
      <c r="C5" s="105">
        <v>431604.65290675609</v>
      </c>
      <c r="D5" s="106">
        <v>464327.62005524215</v>
      </c>
      <c r="E5" s="106">
        <v>456993.16190127115</v>
      </c>
      <c r="F5" s="106">
        <v>275324.27531829668</v>
      </c>
      <c r="G5" s="106">
        <v>393239.79487059999</v>
      </c>
      <c r="H5" s="106">
        <v>454172.21645743615</v>
      </c>
      <c r="I5" s="106">
        <v>473918.83456428116</v>
      </c>
      <c r="J5" s="106">
        <v>502128.28900263127</v>
      </c>
      <c r="K5" s="106">
        <v>461506.67461140716</v>
      </c>
      <c r="L5" s="106">
        <v>428219.51837415405</v>
      </c>
      <c r="M5" s="106">
        <v>417499.92568758107</v>
      </c>
      <c r="N5" s="106">
        <v>424270.19475278509</v>
      </c>
      <c r="O5" s="107">
        <v>5183205.1585024428</v>
      </c>
    </row>
    <row r="6" spans="1:15" ht="13" x14ac:dyDescent="0.3">
      <c r="A6" s="241"/>
      <c r="B6" s="108" t="s">
        <v>25</v>
      </c>
      <c r="C6" s="244">
        <v>-260628.54709324386</v>
      </c>
      <c r="D6" s="245">
        <v>-280388.61994475784</v>
      </c>
      <c r="E6" s="245">
        <v>-275959.6380987289</v>
      </c>
      <c r="F6" s="245">
        <v>-166257.16468170332</v>
      </c>
      <c r="G6" s="245">
        <v>-237461.5651294</v>
      </c>
      <c r="H6" s="245">
        <v>-274256.18354256387</v>
      </c>
      <c r="I6" s="245">
        <v>-286180.36543571879</v>
      </c>
      <c r="J6" s="245">
        <v>-208447.71099736873</v>
      </c>
      <c r="K6" s="245">
        <v>-191584.5253885928</v>
      </c>
      <c r="L6" s="245">
        <v>-177766.08162584592</v>
      </c>
      <c r="M6" s="245">
        <v>-173316.07431241893</v>
      </c>
      <c r="N6" s="245">
        <v>-176126.60524721484</v>
      </c>
      <c r="O6" s="246">
        <v>-2708373.0814975579</v>
      </c>
    </row>
    <row r="7" spans="1:15" ht="13" x14ac:dyDescent="0.3">
      <c r="A7" s="241"/>
      <c r="B7" s="108" t="s">
        <v>26</v>
      </c>
      <c r="C7" s="244">
        <v>-11310.468948652557</v>
      </c>
      <c r="D7" s="245">
        <v>-12167.994699007915</v>
      </c>
      <c r="E7" s="245">
        <v>-11975.790651514473</v>
      </c>
      <c r="F7" s="245">
        <v>-7215.0442443692127</v>
      </c>
      <c r="G7" s="245">
        <v>-10305.093930994552</v>
      </c>
      <c r="H7" s="245">
        <v>-11901.866017863147</v>
      </c>
      <c r="I7" s="245">
        <v>-12419.338453422415</v>
      </c>
      <c r="J7" s="245">
        <v>-13158.584789935654</v>
      </c>
      <c r="K7" s="245">
        <v>-12094.070065356591</v>
      </c>
      <c r="L7" s="245">
        <v>-11221.759388270968</v>
      </c>
      <c r="M7" s="245">
        <v>-10940.845780395937</v>
      </c>
      <c r="N7" s="245">
        <v>-11118.264901159115</v>
      </c>
      <c r="O7" s="246">
        <v>-135829.12187094253</v>
      </c>
    </row>
    <row r="8" spans="1:15" ht="13" x14ac:dyDescent="0.3">
      <c r="A8" s="241"/>
      <c r="B8" s="108" t="s">
        <v>27</v>
      </c>
      <c r="C8" s="244">
        <v>-271939.01604189642</v>
      </c>
      <c r="D8" s="245">
        <v>-292556.61464376573</v>
      </c>
      <c r="E8" s="245">
        <v>-287935.42875024339</v>
      </c>
      <c r="F8" s="245">
        <v>-173472.20892607252</v>
      </c>
      <c r="G8" s="245">
        <v>-247766.65906039454</v>
      </c>
      <c r="H8" s="245">
        <v>-286158.04956042703</v>
      </c>
      <c r="I8" s="245">
        <v>-298599.70388914121</v>
      </c>
      <c r="J8" s="245">
        <v>-221606.29578730438</v>
      </c>
      <c r="K8" s="245">
        <v>-203678.59545394938</v>
      </c>
      <c r="L8" s="245">
        <v>-188987.84101411689</v>
      </c>
      <c r="M8" s="245">
        <v>-184256.92009281486</v>
      </c>
      <c r="N8" s="245">
        <v>-187244.87014837397</v>
      </c>
      <c r="O8" s="246">
        <v>-2844202.2033685003</v>
      </c>
    </row>
    <row r="9" spans="1:15" x14ac:dyDescent="0.25">
      <c r="A9" s="241"/>
      <c r="B9" s="108" t="s">
        <v>51</v>
      </c>
      <c r="C9" s="109">
        <v>692233.2</v>
      </c>
      <c r="D9" s="97">
        <v>744716.24</v>
      </c>
      <c r="E9" s="97">
        <v>732952.8</v>
      </c>
      <c r="F9" s="97">
        <v>441581.44</v>
      </c>
      <c r="G9" s="97">
        <v>630701.36</v>
      </c>
      <c r="H9" s="97">
        <v>728428.4</v>
      </c>
      <c r="I9" s="97">
        <v>760099.2</v>
      </c>
      <c r="J9" s="97">
        <v>710576</v>
      </c>
      <c r="K9" s="97">
        <v>653091.19999999995</v>
      </c>
      <c r="L9" s="97">
        <v>605985.6</v>
      </c>
      <c r="M9" s="97">
        <v>590816</v>
      </c>
      <c r="N9" s="97">
        <v>600396.79999999993</v>
      </c>
      <c r="O9" s="110">
        <v>7891578.2399999993</v>
      </c>
    </row>
    <row r="10" spans="1:15" x14ac:dyDescent="0.25">
      <c r="A10" s="241"/>
      <c r="B10" s="108" t="s">
        <v>91</v>
      </c>
      <c r="C10" s="109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110">
        <v>0</v>
      </c>
    </row>
    <row r="11" spans="1:15" x14ac:dyDescent="0.25">
      <c r="A11" s="241"/>
      <c r="B11" s="108" t="s">
        <v>93</v>
      </c>
      <c r="C11" s="109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110">
        <v>0</v>
      </c>
    </row>
    <row r="12" spans="1:15" x14ac:dyDescent="0.25">
      <c r="A12" s="98" t="s">
        <v>17</v>
      </c>
      <c r="B12" s="98" t="s">
        <v>72</v>
      </c>
      <c r="C12" s="105">
        <v>58675.665231768144</v>
      </c>
      <c r="D12" s="106">
        <v>58111.476143001142</v>
      </c>
      <c r="E12" s="106">
        <v>59239.854320535145</v>
      </c>
      <c r="F12" s="106">
        <v>58675.665231768144</v>
      </c>
      <c r="G12" s="106">
        <v>59804.043409302147</v>
      </c>
      <c r="H12" s="106">
        <v>56418.908876700138</v>
      </c>
      <c r="I12" s="106">
        <v>66010.123385739163</v>
      </c>
      <c r="J12" s="106">
        <v>65445.934296972162</v>
      </c>
      <c r="K12" s="106">
        <v>63753.367030671157</v>
      </c>
      <c r="L12" s="106">
        <v>63753.367030671157</v>
      </c>
      <c r="M12" s="106">
        <v>58675.665231768144</v>
      </c>
      <c r="N12" s="106">
        <v>23131.752639447059</v>
      </c>
      <c r="O12" s="107">
        <v>691695.82282834372</v>
      </c>
    </row>
    <row r="13" spans="1:15" ht="13" x14ac:dyDescent="0.3">
      <c r="A13" s="241"/>
      <c r="B13" s="108" t="s">
        <v>25</v>
      </c>
      <c r="C13" s="244">
        <v>-35431.85476823186</v>
      </c>
      <c r="D13" s="245">
        <v>-35091.163856998857</v>
      </c>
      <c r="E13" s="245">
        <v>-35772.545679464849</v>
      </c>
      <c r="F13" s="245">
        <v>-35431.85476823186</v>
      </c>
      <c r="G13" s="245">
        <v>-36113.236590697852</v>
      </c>
      <c r="H13" s="245">
        <v>-34069.091123299862</v>
      </c>
      <c r="I13" s="245">
        <v>-39860.836614260843</v>
      </c>
      <c r="J13" s="245">
        <v>-27168.465703027832</v>
      </c>
      <c r="K13" s="245">
        <v>-26465.83296932884</v>
      </c>
      <c r="L13" s="245">
        <v>-26465.83296932884</v>
      </c>
      <c r="M13" s="245">
        <v>-24357.934768231848</v>
      </c>
      <c r="N13" s="245">
        <v>-9602.6473605529391</v>
      </c>
      <c r="O13" s="246">
        <v>-365831.29717165628</v>
      </c>
    </row>
    <row r="14" spans="1:15" ht="13" x14ac:dyDescent="0.3">
      <c r="A14" s="241"/>
      <c r="B14" s="108" t="s">
        <v>26</v>
      </c>
      <c r="C14" s="244">
        <v>-1537.6323799475374</v>
      </c>
      <c r="D14" s="245">
        <v>-1522.8474532172725</v>
      </c>
      <c r="E14" s="245">
        <v>-1552.4173066778019</v>
      </c>
      <c r="F14" s="245">
        <v>-1537.6323799475374</v>
      </c>
      <c r="G14" s="245">
        <v>-1567.2022334080666</v>
      </c>
      <c r="H14" s="245">
        <v>-1478.4926730264781</v>
      </c>
      <c r="I14" s="245">
        <v>-1729.8364274409792</v>
      </c>
      <c r="J14" s="245">
        <v>-1715.0515007107147</v>
      </c>
      <c r="K14" s="245">
        <v>-1670.6967205199201</v>
      </c>
      <c r="L14" s="245">
        <v>-1670.6967205199201</v>
      </c>
      <c r="M14" s="245">
        <v>-1537.6323799475374</v>
      </c>
      <c r="N14" s="245">
        <v>-606.18199594085604</v>
      </c>
      <c r="O14" s="246">
        <v>-18126.320171304622</v>
      </c>
    </row>
    <row r="15" spans="1:15" ht="13" x14ac:dyDescent="0.3">
      <c r="A15" s="241"/>
      <c r="B15" s="108" t="s">
        <v>27</v>
      </c>
      <c r="C15" s="244">
        <v>-36969.487148179396</v>
      </c>
      <c r="D15" s="245">
        <v>-36614.011310216127</v>
      </c>
      <c r="E15" s="245">
        <v>-37324.962986142651</v>
      </c>
      <c r="F15" s="245">
        <v>-36969.487148179396</v>
      </c>
      <c r="G15" s="245">
        <v>-37680.438824105921</v>
      </c>
      <c r="H15" s="245">
        <v>-35547.58379632634</v>
      </c>
      <c r="I15" s="245">
        <v>-41590.673041701819</v>
      </c>
      <c r="J15" s="245">
        <v>-28883.517203738546</v>
      </c>
      <c r="K15" s="245">
        <v>-28136.529689848761</v>
      </c>
      <c r="L15" s="245">
        <v>-28136.529689848761</v>
      </c>
      <c r="M15" s="245">
        <v>-25895.567148179383</v>
      </c>
      <c r="N15" s="245">
        <v>-10208.829356493796</v>
      </c>
      <c r="O15" s="246">
        <v>-383957.61734296096</v>
      </c>
    </row>
    <row r="16" spans="1:15" x14ac:dyDescent="0.25">
      <c r="A16" s="241"/>
      <c r="B16" s="108" t="s">
        <v>51</v>
      </c>
      <c r="C16" s="109">
        <v>94107.520000000004</v>
      </c>
      <c r="D16" s="97">
        <v>93202.64</v>
      </c>
      <c r="E16" s="97">
        <v>95012.4</v>
      </c>
      <c r="F16" s="97">
        <v>94107.520000000004</v>
      </c>
      <c r="G16" s="97">
        <v>95917.28</v>
      </c>
      <c r="H16" s="97">
        <v>90488</v>
      </c>
      <c r="I16" s="97">
        <v>105870.96</v>
      </c>
      <c r="J16" s="97">
        <v>92614.399999999994</v>
      </c>
      <c r="K16" s="97">
        <v>90219.199999999997</v>
      </c>
      <c r="L16" s="97">
        <v>90219.199999999997</v>
      </c>
      <c r="M16" s="97">
        <v>83033.599999999991</v>
      </c>
      <c r="N16" s="97">
        <v>32734.399999999998</v>
      </c>
      <c r="O16" s="110">
        <v>1057527.1199999999</v>
      </c>
    </row>
    <row r="17" spans="1:15" x14ac:dyDescent="0.25">
      <c r="A17" s="241"/>
      <c r="B17" s="108" t="s">
        <v>91</v>
      </c>
      <c r="C17" s="109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110">
        <v>0</v>
      </c>
    </row>
    <row r="18" spans="1:15" x14ac:dyDescent="0.25">
      <c r="A18" s="241"/>
      <c r="B18" s="108" t="s">
        <v>93</v>
      </c>
      <c r="C18" s="109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110">
        <v>0</v>
      </c>
    </row>
    <row r="19" spans="1:15" x14ac:dyDescent="0.25">
      <c r="A19" s="98" t="s">
        <v>13</v>
      </c>
      <c r="B19" s="98" t="s">
        <v>72</v>
      </c>
      <c r="C19" s="105">
        <v>557418.81970179745</v>
      </c>
      <c r="D19" s="106">
        <v>536543.82341741829</v>
      </c>
      <c r="E19" s="106">
        <v>595219.48864918645</v>
      </c>
      <c r="F19" s="106">
        <v>289993.19162623869</v>
      </c>
      <c r="G19" s="106">
        <v>395496.55122566799</v>
      </c>
      <c r="H19" s="106">
        <v>463763.43096647516</v>
      </c>
      <c r="I19" s="106">
        <v>489716.1290497572</v>
      </c>
      <c r="J19" s="106">
        <v>526388.41981961229</v>
      </c>
      <c r="K19" s="106">
        <v>502128.28900263127</v>
      </c>
      <c r="L19" s="106">
        <v>450222.89283606713</v>
      </c>
      <c r="M19" s="106">
        <v>592398.54320535145</v>
      </c>
      <c r="N19" s="106">
        <v>561932.33241193346</v>
      </c>
      <c r="O19" s="107">
        <v>5961221.9119121358</v>
      </c>
    </row>
    <row r="20" spans="1:15" ht="13" x14ac:dyDescent="0.3">
      <c r="A20" s="241"/>
      <c r="B20" s="108" t="s">
        <v>25</v>
      </c>
      <c r="C20" s="244">
        <v>-336602.6202982025</v>
      </c>
      <c r="D20" s="245">
        <v>-323997.05658258172</v>
      </c>
      <c r="E20" s="245">
        <v>-359428.91135081358</v>
      </c>
      <c r="F20" s="245">
        <v>-175115.12837376131</v>
      </c>
      <c r="G20" s="245">
        <v>-238824.32877433201</v>
      </c>
      <c r="H20" s="245">
        <v>-280047.92903352482</v>
      </c>
      <c r="I20" s="245">
        <v>-295719.71095024276</v>
      </c>
      <c r="J20" s="245">
        <v>-218518.78018038766</v>
      </c>
      <c r="K20" s="245">
        <v>-208447.71099736873</v>
      </c>
      <c r="L20" s="245">
        <v>-186900.30716393283</v>
      </c>
      <c r="M20" s="245">
        <v>-245921.45679464855</v>
      </c>
      <c r="N20" s="245">
        <v>-233274.06758806657</v>
      </c>
      <c r="O20" s="246">
        <v>-3102798.0080878632</v>
      </c>
    </row>
    <row r="21" spans="1:15" ht="13" x14ac:dyDescent="0.3">
      <c r="A21" s="241"/>
      <c r="B21" s="108" t="s">
        <v>26</v>
      </c>
      <c r="C21" s="244">
        <v>-14607.507609501603</v>
      </c>
      <c r="D21" s="245">
        <v>-14060.465320481808</v>
      </c>
      <c r="E21" s="245">
        <v>-15598.097700429345</v>
      </c>
      <c r="F21" s="245">
        <v>-7599.4523393560976</v>
      </c>
      <c r="G21" s="245">
        <v>-10364.233637915611</v>
      </c>
      <c r="H21" s="245">
        <v>-12153.209772277649</v>
      </c>
      <c r="I21" s="245">
        <v>-12833.31640186983</v>
      </c>
      <c r="J21" s="245">
        <v>-13794.336639337042</v>
      </c>
      <c r="K21" s="245">
        <v>-13158.584789935654</v>
      </c>
      <c r="L21" s="245">
        <v>-11798.371530751294</v>
      </c>
      <c r="M21" s="245">
        <v>-15524.173066778018</v>
      </c>
      <c r="N21" s="245">
        <v>-14725.787023343722</v>
      </c>
      <c r="O21" s="246">
        <v>-156217.53583197767</v>
      </c>
    </row>
    <row r="22" spans="1:15" ht="13" x14ac:dyDescent="0.3">
      <c r="A22" s="241"/>
      <c r="B22" s="108" t="s">
        <v>27</v>
      </c>
      <c r="C22" s="244">
        <v>-351210.1279077041</v>
      </c>
      <c r="D22" s="245">
        <v>-338057.52190306352</v>
      </c>
      <c r="E22" s="245">
        <v>-375027.0090512429</v>
      </c>
      <c r="F22" s="245">
        <v>-182714.58071311741</v>
      </c>
      <c r="G22" s="245">
        <v>-249188.56241224761</v>
      </c>
      <c r="H22" s="245">
        <v>-292201.13880580245</v>
      </c>
      <c r="I22" s="245">
        <v>-308553.02735211258</v>
      </c>
      <c r="J22" s="245">
        <v>-232313.1168197247</v>
      </c>
      <c r="K22" s="245">
        <v>-221606.29578730438</v>
      </c>
      <c r="L22" s="245">
        <v>-198698.67869468412</v>
      </c>
      <c r="M22" s="245">
        <v>-261445.62986142657</v>
      </c>
      <c r="N22" s="245">
        <v>-247999.85461141029</v>
      </c>
      <c r="O22" s="246">
        <v>-3259015.5439198404</v>
      </c>
    </row>
    <row r="23" spans="1:15" x14ac:dyDescent="0.25">
      <c r="A23" s="241"/>
      <c r="B23" s="108" t="s">
        <v>51</v>
      </c>
      <c r="C23" s="109">
        <v>894021.44</v>
      </c>
      <c r="D23" s="97">
        <v>860540.88</v>
      </c>
      <c r="E23" s="97">
        <v>954648.4</v>
      </c>
      <c r="F23" s="97">
        <v>465108.32</v>
      </c>
      <c r="G23" s="97">
        <v>634320.88</v>
      </c>
      <c r="H23" s="97">
        <v>743811.36</v>
      </c>
      <c r="I23" s="97">
        <v>785435.84</v>
      </c>
      <c r="J23" s="97">
        <v>744907.2</v>
      </c>
      <c r="K23" s="97">
        <v>710576</v>
      </c>
      <c r="L23" s="97">
        <v>637123.19999999995</v>
      </c>
      <c r="M23" s="97">
        <v>838320</v>
      </c>
      <c r="N23" s="97">
        <v>795206.4</v>
      </c>
      <c r="O23" s="110">
        <v>9064019.9199999999</v>
      </c>
    </row>
    <row r="24" spans="1:15" x14ac:dyDescent="0.25">
      <c r="A24" s="241"/>
      <c r="B24" s="108" t="s">
        <v>91</v>
      </c>
      <c r="C24" s="109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110">
        <v>0</v>
      </c>
    </row>
    <row r="25" spans="1:15" x14ac:dyDescent="0.25">
      <c r="A25" s="241"/>
      <c r="B25" s="108" t="s">
        <v>93</v>
      </c>
      <c r="C25" s="109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110">
        <v>0</v>
      </c>
    </row>
    <row r="26" spans="1:15" x14ac:dyDescent="0.25">
      <c r="A26" s="98" t="s">
        <v>15</v>
      </c>
      <c r="B26" s="98" t="s">
        <v>72</v>
      </c>
      <c r="C26" s="105">
        <v>3949.3236213690097</v>
      </c>
      <c r="D26" s="106">
        <v>4513.5127101360113</v>
      </c>
      <c r="E26" s="106">
        <v>3385.1345326020082</v>
      </c>
      <c r="F26" s="106">
        <v>2820.9454438350072</v>
      </c>
      <c r="G26" s="106">
        <v>2256.7563550680056</v>
      </c>
      <c r="H26" s="106">
        <v>3949.3236213690097</v>
      </c>
      <c r="I26" s="106">
        <v>9591.2145090390241</v>
      </c>
      <c r="J26" s="106">
        <v>9591.2145090390241</v>
      </c>
      <c r="K26" s="106">
        <v>7334.458153971018</v>
      </c>
      <c r="L26" s="106">
        <v>2820.9454438350072</v>
      </c>
      <c r="M26" s="106">
        <v>3949.3236213690097</v>
      </c>
      <c r="N26" s="106">
        <v>3949.3236213690097</v>
      </c>
      <c r="O26" s="107">
        <v>58111.476143001149</v>
      </c>
    </row>
    <row r="27" spans="1:15" ht="13" x14ac:dyDescent="0.3">
      <c r="A27" s="241"/>
      <c r="B27" s="108" t="s">
        <v>25</v>
      </c>
      <c r="C27" s="244">
        <v>-2384.8363786309901</v>
      </c>
      <c r="D27" s="245">
        <v>-2725.5272898639887</v>
      </c>
      <c r="E27" s="245">
        <v>-2044.1454673979915</v>
      </c>
      <c r="F27" s="245">
        <v>-1703.4545561649925</v>
      </c>
      <c r="G27" s="245">
        <v>-1362.7636449319943</v>
      </c>
      <c r="H27" s="245">
        <v>-2384.8363786309901</v>
      </c>
      <c r="I27" s="245">
        <v>-5791.7454909609751</v>
      </c>
      <c r="J27" s="245">
        <v>-3981.5854909609752</v>
      </c>
      <c r="K27" s="245">
        <v>-3044.7418460289809</v>
      </c>
      <c r="L27" s="245">
        <v>-1171.0545561649928</v>
      </c>
      <c r="M27" s="245">
        <v>-1639.4763786309904</v>
      </c>
      <c r="N27" s="245">
        <v>-1639.4763786309904</v>
      </c>
      <c r="O27" s="246">
        <v>-29873.643856998853</v>
      </c>
    </row>
    <row r="28" spans="1:15" ht="13" x14ac:dyDescent="0.3">
      <c r="A28" s="241"/>
      <c r="B28" s="108" t="s">
        <v>26</v>
      </c>
      <c r="C28" s="244">
        <v>-103.49448711185347</v>
      </c>
      <c r="D28" s="245">
        <v>-118.27941384211825</v>
      </c>
      <c r="E28" s="245">
        <v>-88.709560381588688</v>
      </c>
      <c r="F28" s="245">
        <v>-73.924633651323902</v>
      </c>
      <c r="G28" s="245">
        <v>-59.139706921059123</v>
      </c>
      <c r="H28" s="245">
        <v>-103.49448711185347</v>
      </c>
      <c r="I28" s="245">
        <v>-251.34375441450126</v>
      </c>
      <c r="J28" s="245">
        <v>-251.34375441450126</v>
      </c>
      <c r="K28" s="245">
        <v>-192.20404749344218</v>
      </c>
      <c r="L28" s="245">
        <v>-73.924633651323902</v>
      </c>
      <c r="M28" s="245">
        <v>-103.49448711185347</v>
      </c>
      <c r="N28" s="245">
        <v>-103.49448711185347</v>
      </c>
      <c r="O28" s="246">
        <v>-1522.8474532172725</v>
      </c>
    </row>
    <row r="29" spans="1:15" ht="13" x14ac:dyDescent="0.3">
      <c r="A29" s="241"/>
      <c r="B29" s="108" t="s">
        <v>27</v>
      </c>
      <c r="C29" s="244">
        <v>-2488.3308657428438</v>
      </c>
      <c r="D29" s="245">
        <v>-2843.8067037061069</v>
      </c>
      <c r="E29" s="245">
        <v>-2132.8550277795803</v>
      </c>
      <c r="F29" s="245">
        <v>-1777.3791898163163</v>
      </c>
      <c r="G29" s="245">
        <v>-1421.9033518530534</v>
      </c>
      <c r="H29" s="245">
        <v>-2488.3308657428438</v>
      </c>
      <c r="I29" s="245">
        <v>-6043.0892453754759</v>
      </c>
      <c r="J29" s="245">
        <v>-4232.9292453754761</v>
      </c>
      <c r="K29" s="245">
        <v>-3236.9458935224229</v>
      </c>
      <c r="L29" s="245">
        <v>-1244.9791898163166</v>
      </c>
      <c r="M29" s="245">
        <v>-1742.9708657428439</v>
      </c>
      <c r="N29" s="245">
        <v>-1742.9708657428439</v>
      </c>
      <c r="O29" s="246">
        <v>-31396.49131021613</v>
      </c>
    </row>
    <row r="30" spans="1:15" x14ac:dyDescent="0.25">
      <c r="A30" s="241"/>
      <c r="B30" s="108" t="s">
        <v>51</v>
      </c>
      <c r="C30" s="109">
        <v>6334.16</v>
      </c>
      <c r="D30" s="97">
        <v>7239.04</v>
      </c>
      <c r="E30" s="97">
        <v>5429.28</v>
      </c>
      <c r="F30" s="97">
        <v>4524.3999999999996</v>
      </c>
      <c r="G30" s="97">
        <v>3619.52</v>
      </c>
      <c r="H30" s="97">
        <v>6334.16</v>
      </c>
      <c r="I30" s="97">
        <v>15382.96</v>
      </c>
      <c r="J30" s="97">
        <v>13572.8</v>
      </c>
      <c r="K30" s="97">
        <v>10379.199999999999</v>
      </c>
      <c r="L30" s="97">
        <v>3992</v>
      </c>
      <c r="M30" s="97">
        <v>5588.8</v>
      </c>
      <c r="N30" s="97">
        <v>5588.8</v>
      </c>
      <c r="O30" s="110">
        <v>87985.12</v>
      </c>
    </row>
    <row r="31" spans="1:15" x14ac:dyDescent="0.25">
      <c r="A31" s="241"/>
      <c r="B31" s="108" t="s">
        <v>91</v>
      </c>
      <c r="C31" s="109">
        <v>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110">
        <v>0</v>
      </c>
    </row>
    <row r="32" spans="1:15" x14ac:dyDescent="0.25">
      <c r="A32" s="241"/>
      <c r="B32" s="108" t="s">
        <v>93</v>
      </c>
      <c r="C32" s="109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110">
        <v>0</v>
      </c>
    </row>
    <row r="33" spans="1:15" x14ac:dyDescent="0.25">
      <c r="A33" s="98" t="s">
        <v>16</v>
      </c>
      <c r="B33" s="98" t="s">
        <v>72</v>
      </c>
      <c r="C33" s="105">
        <v>564.18908876700141</v>
      </c>
      <c r="D33" s="106">
        <v>2256.7563550680056</v>
      </c>
      <c r="E33" s="106">
        <v>564.18908876700141</v>
      </c>
      <c r="F33" s="106">
        <v>1692.5672663010041</v>
      </c>
      <c r="G33" s="106">
        <v>1692.5672663010041</v>
      </c>
      <c r="H33" s="106">
        <v>1128.3781775340028</v>
      </c>
      <c r="I33" s="106">
        <v>3385.1345326020082</v>
      </c>
      <c r="J33" s="106">
        <v>2256.7563550680056</v>
      </c>
      <c r="K33" s="106">
        <v>1692.5672663010041</v>
      </c>
      <c r="L33" s="106">
        <v>2256.7563550680056</v>
      </c>
      <c r="M33" s="106">
        <v>2256.7563550680056</v>
      </c>
      <c r="N33" s="106">
        <v>2256.7563550680056</v>
      </c>
      <c r="O33" s="107">
        <v>22003.374461913056</v>
      </c>
    </row>
    <row r="34" spans="1:15" ht="13" x14ac:dyDescent="0.3">
      <c r="A34" s="241"/>
      <c r="B34" s="108" t="s">
        <v>25</v>
      </c>
      <c r="C34" s="244">
        <v>-340.69091123299859</v>
      </c>
      <c r="D34" s="245">
        <v>-1362.7636449319943</v>
      </c>
      <c r="E34" s="245">
        <v>-340.69091123299859</v>
      </c>
      <c r="F34" s="245">
        <v>-1022.0727336989958</v>
      </c>
      <c r="G34" s="245">
        <v>-1022.0727336989958</v>
      </c>
      <c r="H34" s="245">
        <v>-681.38182246599717</v>
      </c>
      <c r="I34" s="245">
        <v>-2044.1454673979915</v>
      </c>
      <c r="J34" s="245">
        <v>-936.84364493199428</v>
      </c>
      <c r="K34" s="245">
        <v>-702.63273369899571</v>
      </c>
      <c r="L34" s="245">
        <v>-936.84364493199428</v>
      </c>
      <c r="M34" s="245">
        <v>-936.84364493199428</v>
      </c>
      <c r="N34" s="245">
        <v>-936.84364493199428</v>
      </c>
      <c r="O34" s="246">
        <v>-11263.825538086945</v>
      </c>
    </row>
    <row r="35" spans="1:15" ht="13" x14ac:dyDescent="0.3">
      <c r="A35" s="241"/>
      <c r="B35" s="108" t="s">
        <v>26</v>
      </c>
      <c r="C35" s="244">
        <v>-14.784926730264781</v>
      </c>
      <c r="D35" s="245">
        <v>-59.139706921059123</v>
      </c>
      <c r="E35" s="245">
        <v>-14.784926730264781</v>
      </c>
      <c r="F35" s="245">
        <v>-44.354780190794344</v>
      </c>
      <c r="G35" s="245">
        <v>-44.354780190794344</v>
      </c>
      <c r="H35" s="245">
        <v>-29.569853460529561</v>
      </c>
      <c r="I35" s="245">
        <v>-88.709560381588688</v>
      </c>
      <c r="J35" s="245">
        <v>-59.139706921059123</v>
      </c>
      <c r="K35" s="245">
        <v>-44.354780190794344</v>
      </c>
      <c r="L35" s="245">
        <v>-59.139706921059123</v>
      </c>
      <c r="M35" s="245">
        <v>-59.139706921059123</v>
      </c>
      <c r="N35" s="245">
        <v>-59.139706921059123</v>
      </c>
      <c r="O35" s="246">
        <v>-576.6121424803265</v>
      </c>
    </row>
    <row r="36" spans="1:15" ht="13" x14ac:dyDescent="0.3">
      <c r="A36" s="241"/>
      <c r="B36" s="108" t="s">
        <v>27</v>
      </c>
      <c r="C36" s="244">
        <v>-355.47583796326336</v>
      </c>
      <c r="D36" s="245">
        <v>-1421.9033518530534</v>
      </c>
      <c r="E36" s="245">
        <v>-355.47583796326336</v>
      </c>
      <c r="F36" s="245">
        <v>-1066.4275138897901</v>
      </c>
      <c r="G36" s="245">
        <v>-1066.4275138897901</v>
      </c>
      <c r="H36" s="245">
        <v>-710.95167592652672</v>
      </c>
      <c r="I36" s="245">
        <v>-2132.8550277795803</v>
      </c>
      <c r="J36" s="245">
        <v>-995.98335185305336</v>
      </c>
      <c r="K36" s="245">
        <v>-746.98751388979008</v>
      </c>
      <c r="L36" s="245">
        <v>-995.98335185305336</v>
      </c>
      <c r="M36" s="245">
        <v>-995.98335185305336</v>
      </c>
      <c r="N36" s="245">
        <v>-995.98335185305336</v>
      </c>
      <c r="O36" s="246">
        <v>-11840.437680567273</v>
      </c>
    </row>
    <row r="37" spans="1:15" x14ac:dyDescent="0.25">
      <c r="A37" s="241"/>
      <c r="B37" s="108" t="s">
        <v>51</v>
      </c>
      <c r="C37" s="109">
        <v>904.88</v>
      </c>
      <c r="D37" s="97">
        <v>3619.52</v>
      </c>
      <c r="E37" s="97">
        <v>904.88</v>
      </c>
      <c r="F37" s="97">
        <v>2714.64</v>
      </c>
      <c r="G37" s="97">
        <v>2714.64</v>
      </c>
      <c r="H37" s="97">
        <v>1809.76</v>
      </c>
      <c r="I37" s="97">
        <v>5429.28</v>
      </c>
      <c r="J37" s="97">
        <v>3193.6</v>
      </c>
      <c r="K37" s="97">
        <v>2395.1999999999998</v>
      </c>
      <c r="L37" s="97">
        <v>3193.6</v>
      </c>
      <c r="M37" s="97">
        <v>3193.6</v>
      </c>
      <c r="N37" s="97">
        <v>3193.6</v>
      </c>
      <c r="O37" s="110">
        <v>33267.199999999997</v>
      </c>
    </row>
    <row r="38" spans="1:15" x14ac:dyDescent="0.25">
      <c r="A38" s="241"/>
      <c r="B38" s="108" t="s">
        <v>91</v>
      </c>
      <c r="C38" s="109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110">
        <v>0</v>
      </c>
    </row>
    <row r="39" spans="1:15" x14ac:dyDescent="0.25">
      <c r="A39" s="241"/>
      <c r="B39" s="108" t="s">
        <v>93</v>
      </c>
      <c r="C39" s="109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110">
        <v>0</v>
      </c>
    </row>
    <row r="40" spans="1:15" x14ac:dyDescent="0.25">
      <c r="A40" s="98" t="s">
        <v>19</v>
      </c>
      <c r="B40" s="98" t="s">
        <v>72</v>
      </c>
      <c r="C40" s="105">
        <v>24260.130816981062</v>
      </c>
      <c r="D40" s="106">
        <v>20874.996284379053</v>
      </c>
      <c r="E40" s="106">
        <v>22567.563550680057</v>
      </c>
      <c r="F40" s="106">
        <v>20310.807195612051</v>
      </c>
      <c r="G40" s="106">
        <v>23131.752639447059</v>
      </c>
      <c r="H40" s="106">
        <v>22567.563550680057</v>
      </c>
      <c r="I40" s="106">
        <v>25952.698083282066</v>
      </c>
      <c r="J40" s="106">
        <v>26516.887172049068</v>
      </c>
      <c r="K40" s="106">
        <v>25388.508994515065</v>
      </c>
      <c r="L40" s="106">
        <v>23695.94172821406</v>
      </c>
      <c r="M40" s="106">
        <v>24260.130816981062</v>
      </c>
      <c r="N40" s="106">
        <v>21439.185373146054</v>
      </c>
      <c r="O40" s="107">
        <v>280966.16620596667</v>
      </c>
    </row>
    <row r="41" spans="1:15" ht="13" x14ac:dyDescent="0.3">
      <c r="A41" s="241"/>
      <c r="B41" s="108" t="s">
        <v>25</v>
      </c>
      <c r="C41" s="244">
        <v>-14649.709183018935</v>
      </c>
      <c r="D41" s="245">
        <v>-12605.563715620945</v>
      </c>
      <c r="E41" s="245">
        <v>-13627.63644931994</v>
      </c>
      <c r="F41" s="245">
        <v>-12264.872804387949</v>
      </c>
      <c r="G41" s="245">
        <v>-13968.327360552943</v>
      </c>
      <c r="H41" s="245">
        <v>-13627.63644931994</v>
      </c>
      <c r="I41" s="245">
        <v>-15671.781916717937</v>
      </c>
      <c r="J41" s="245">
        <v>-11007.912827950928</v>
      </c>
      <c r="K41" s="245">
        <v>-10539.491005484935</v>
      </c>
      <c r="L41" s="245">
        <v>-9836.8582717859354</v>
      </c>
      <c r="M41" s="245">
        <v>-10071.069183018935</v>
      </c>
      <c r="N41" s="245">
        <v>-8900.0146268539465</v>
      </c>
      <c r="O41" s="246">
        <v>-146770.87379403328</v>
      </c>
    </row>
    <row r="42" spans="1:15" ht="13" x14ac:dyDescent="0.3">
      <c r="A42" s="241"/>
      <c r="B42" s="108" t="s">
        <v>26</v>
      </c>
      <c r="C42" s="244">
        <v>-635.75184940138558</v>
      </c>
      <c r="D42" s="245">
        <v>-547.04228901979684</v>
      </c>
      <c r="E42" s="245">
        <v>-591.39706921059121</v>
      </c>
      <c r="F42" s="245">
        <v>-532.25736228953213</v>
      </c>
      <c r="G42" s="245">
        <v>-606.18199594085604</v>
      </c>
      <c r="H42" s="245">
        <v>-591.39706921059121</v>
      </c>
      <c r="I42" s="245">
        <v>-680.10662959217984</v>
      </c>
      <c r="J42" s="245">
        <v>-694.89155632244467</v>
      </c>
      <c r="K42" s="245">
        <v>-665.32170286191513</v>
      </c>
      <c r="L42" s="245">
        <v>-620.96692267112076</v>
      </c>
      <c r="M42" s="245">
        <v>-635.75184940138558</v>
      </c>
      <c r="N42" s="245">
        <v>-561.82721575006167</v>
      </c>
      <c r="O42" s="246">
        <v>-7362.8935116718603</v>
      </c>
    </row>
    <row r="43" spans="1:15" ht="13" x14ac:dyDescent="0.3">
      <c r="A43" s="241"/>
      <c r="B43" s="108" t="s">
        <v>27</v>
      </c>
      <c r="C43" s="244">
        <v>-15285.46103242032</v>
      </c>
      <c r="D43" s="245">
        <v>-13152.606004640742</v>
      </c>
      <c r="E43" s="245">
        <v>-14219.03351853053</v>
      </c>
      <c r="F43" s="245">
        <v>-12797.130166677482</v>
      </c>
      <c r="G43" s="245">
        <v>-14574.5093564938</v>
      </c>
      <c r="H43" s="245">
        <v>-14219.03351853053</v>
      </c>
      <c r="I43" s="245">
        <v>-16351.888546310116</v>
      </c>
      <c r="J43" s="245">
        <v>-11702.804384273373</v>
      </c>
      <c r="K43" s="245">
        <v>-11204.81270834685</v>
      </c>
      <c r="L43" s="245">
        <v>-10457.825194457057</v>
      </c>
      <c r="M43" s="245">
        <v>-10706.821032420321</v>
      </c>
      <c r="N43" s="245">
        <v>-9461.841842604008</v>
      </c>
      <c r="O43" s="246">
        <v>-154133.76730570514</v>
      </c>
    </row>
    <row r="44" spans="1:15" x14ac:dyDescent="0.25">
      <c r="A44" s="241"/>
      <c r="B44" s="108" t="s">
        <v>51</v>
      </c>
      <c r="C44" s="109">
        <v>38909.839999999997</v>
      </c>
      <c r="D44" s="97">
        <v>33480.559999999998</v>
      </c>
      <c r="E44" s="97">
        <v>36195.199999999997</v>
      </c>
      <c r="F44" s="97">
        <v>32575.68</v>
      </c>
      <c r="G44" s="97">
        <v>37100.080000000002</v>
      </c>
      <c r="H44" s="97">
        <v>36195.199999999997</v>
      </c>
      <c r="I44" s="97">
        <v>41624.480000000003</v>
      </c>
      <c r="J44" s="97">
        <v>37524.799999999996</v>
      </c>
      <c r="K44" s="97">
        <v>35928</v>
      </c>
      <c r="L44" s="97">
        <v>33532.799999999996</v>
      </c>
      <c r="M44" s="97">
        <v>34331.199999999997</v>
      </c>
      <c r="N44" s="97">
        <v>30339.200000000001</v>
      </c>
      <c r="O44" s="110">
        <v>427737.04000000004</v>
      </c>
    </row>
    <row r="45" spans="1:15" x14ac:dyDescent="0.25">
      <c r="A45" s="241"/>
      <c r="B45" s="108" t="s">
        <v>91</v>
      </c>
      <c r="C45" s="109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110">
        <v>0</v>
      </c>
    </row>
    <row r="46" spans="1:15" x14ac:dyDescent="0.25">
      <c r="A46" s="241"/>
      <c r="B46" s="108" t="s">
        <v>93</v>
      </c>
      <c r="C46" s="109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110">
        <v>0</v>
      </c>
    </row>
    <row r="47" spans="1:15" x14ac:dyDescent="0.25">
      <c r="A47" s="98" t="s">
        <v>8</v>
      </c>
      <c r="B47" s="98" t="s">
        <v>72</v>
      </c>
      <c r="C47" s="105">
        <v>42878.370746292108</v>
      </c>
      <c r="D47" s="106">
        <v>47956.072545195122</v>
      </c>
      <c r="E47" s="106">
        <v>48520.261633962124</v>
      </c>
      <c r="F47" s="106">
        <v>44006.748923826111</v>
      </c>
      <c r="G47" s="106">
        <v>51905.396166564133</v>
      </c>
      <c r="H47" s="106">
        <v>77858.094249846195</v>
      </c>
      <c r="I47" s="106">
        <v>82935.796048749209</v>
      </c>
      <c r="J47" s="106">
        <v>88013.497847652223</v>
      </c>
      <c r="K47" s="106">
        <v>78986.472427380198</v>
      </c>
      <c r="L47" s="106">
        <v>70523.636095875176</v>
      </c>
      <c r="M47" s="106">
        <v>44570.938012593113</v>
      </c>
      <c r="N47" s="106">
        <v>45699.316190127116</v>
      </c>
      <c r="O47" s="107">
        <v>723854.60088806285</v>
      </c>
    </row>
    <row r="48" spans="1:15" ht="13" x14ac:dyDescent="0.3">
      <c r="A48" s="241"/>
      <c r="B48" s="108" t="s">
        <v>25</v>
      </c>
      <c r="C48" s="244">
        <v>-25892.509253707896</v>
      </c>
      <c r="D48" s="245">
        <v>-28958.727454804881</v>
      </c>
      <c r="E48" s="245">
        <v>-29299.418366037869</v>
      </c>
      <c r="F48" s="245">
        <v>-26573.891076173888</v>
      </c>
      <c r="G48" s="245">
        <v>-31343.563833435874</v>
      </c>
      <c r="H48" s="245">
        <v>-47015.345750153807</v>
      </c>
      <c r="I48" s="245">
        <v>-50081.563951250777</v>
      </c>
      <c r="J48" s="245">
        <v>-36536.902152347771</v>
      </c>
      <c r="K48" s="245">
        <v>-32789.527572619802</v>
      </c>
      <c r="L48" s="245">
        <v>-29276.363904124824</v>
      </c>
      <c r="M48" s="245">
        <v>-18502.661987406886</v>
      </c>
      <c r="N48" s="245">
        <v>-18971.083809872885</v>
      </c>
      <c r="O48" s="246">
        <v>-375241.55911193718</v>
      </c>
    </row>
    <row r="49" spans="1:15" ht="13" x14ac:dyDescent="0.3">
      <c r="A49" s="241"/>
      <c r="B49" s="108" t="s">
        <v>26</v>
      </c>
      <c r="C49" s="244">
        <v>-1123.6544315001233</v>
      </c>
      <c r="D49" s="245">
        <v>-1256.7187720725065</v>
      </c>
      <c r="E49" s="245">
        <v>-1271.5036988027712</v>
      </c>
      <c r="F49" s="245">
        <v>-1153.224284960653</v>
      </c>
      <c r="G49" s="245">
        <v>-1360.2132591843597</v>
      </c>
      <c r="H49" s="245">
        <v>-2040.3198887765395</v>
      </c>
      <c r="I49" s="245">
        <v>-2173.3842293489229</v>
      </c>
      <c r="J49" s="245">
        <v>-2306.448569921306</v>
      </c>
      <c r="K49" s="245">
        <v>-2069.8897422370692</v>
      </c>
      <c r="L49" s="245">
        <v>-1848.1158412830978</v>
      </c>
      <c r="M49" s="245">
        <v>-1168.0092116909175</v>
      </c>
      <c r="N49" s="245">
        <v>-1197.5790651514471</v>
      </c>
      <c r="O49" s="246">
        <v>-18969.060994929714</v>
      </c>
    </row>
    <row r="50" spans="1:15" ht="13" x14ac:dyDescent="0.3">
      <c r="A50" s="241"/>
      <c r="B50" s="108" t="s">
        <v>27</v>
      </c>
      <c r="C50" s="244">
        <v>-27016.163685208019</v>
      </c>
      <c r="D50" s="245">
        <v>-30215.446226877386</v>
      </c>
      <c r="E50" s="245">
        <v>-30570.922064840641</v>
      </c>
      <c r="F50" s="245">
        <v>-27727.11536113454</v>
      </c>
      <c r="G50" s="245">
        <v>-32703.777092620232</v>
      </c>
      <c r="H50" s="245">
        <v>-49055.665638930346</v>
      </c>
      <c r="I50" s="245">
        <v>-52254.948180599698</v>
      </c>
      <c r="J50" s="245">
        <v>-38843.350722269075</v>
      </c>
      <c r="K50" s="245">
        <v>-34859.417314856873</v>
      </c>
      <c r="L50" s="245">
        <v>-31124.479745407923</v>
      </c>
      <c r="M50" s="245">
        <v>-19670.671199097804</v>
      </c>
      <c r="N50" s="245">
        <v>-20168.662875024333</v>
      </c>
      <c r="O50" s="246">
        <v>-394210.62010686687</v>
      </c>
    </row>
    <row r="51" spans="1:15" x14ac:dyDescent="0.25">
      <c r="A51" s="241"/>
      <c r="B51" s="108" t="s">
        <v>51</v>
      </c>
      <c r="C51" s="109">
        <v>68770.880000000005</v>
      </c>
      <c r="D51" s="97">
        <v>76914.8</v>
      </c>
      <c r="E51" s="97">
        <v>77819.679999999993</v>
      </c>
      <c r="F51" s="97">
        <v>70580.639999999999</v>
      </c>
      <c r="G51" s="97">
        <v>83248.960000000006</v>
      </c>
      <c r="H51" s="97">
        <v>124873.44</v>
      </c>
      <c r="I51" s="97">
        <v>133017.35999999999</v>
      </c>
      <c r="J51" s="97">
        <v>124550.39999999999</v>
      </c>
      <c r="K51" s="97">
        <v>111776</v>
      </c>
      <c r="L51" s="97">
        <v>99800</v>
      </c>
      <c r="M51" s="97">
        <v>63073.599999999999</v>
      </c>
      <c r="N51" s="97">
        <v>64670.400000000001</v>
      </c>
      <c r="O51" s="110">
        <v>1099096.1599999999</v>
      </c>
    </row>
    <row r="52" spans="1:15" x14ac:dyDescent="0.25">
      <c r="A52" s="241"/>
      <c r="B52" s="108" t="s">
        <v>91</v>
      </c>
      <c r="C52" s="109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110">
        <v>0</v>
      </c>
    </row>
    <row r="53" spans="1:15" x14ac:dyDescent="0.25">
      <c r="A53" s="241"/>
      <c r="B53" s="108" t="s">
        <v>93</v>
      </c>
      <c r="C53" s="109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110">
        <v>0</v>
      </c>
    </row>
    <row r="54" spans="1:15" x14ac:dyDescent="0.25">
      <c r="A54" s="98" t="s">
        <v>21</v>
      </c>
      <c r="B54" s="98" t="s">
        <v>72</v>
      </c>
      <c r="C54" s="105">
        <v>1444888.2563322906</v>
      </c>
      <c r="D54" s="106">
        <v>1575215.9358374679</v>
      </c>
      <c r="E54" s="106">
        <v>1582550.3939914389</v>
      </c>
      <c r="F54" s="106">
        <v>1452222.7144862616</v>
      </c>
      <c r="G54" s="106">
        <v>1675641.5936379943</v>
      </c>
      <c r="H54" s="106">
        <v>2101040.1665683133</v>
      </c>
      <c r="I54" s="106">
        <v>2213313.7952329465</v>
      </c>
      <c r="J54" s="106">
        <v>2306969.1839682688</v>
      </c>
      <c r="K54" s="106">
        <v>2104989.4901896822</v>
      </c>
      <c r="L54" s="106">
        <v>1989894.9160812139</v>
      </c>
      <c r="M54" s="106">
        <v>1449401.7690424267</v>
      </c>
      <c r="N54" s="106">
        <v>1466327.4417054367</v>
      </c>
      <c r="O54" s="107">
        <v>21362455.657073736</v>
      </c>
    </row>
    <row r="55" spans="1:15" ht="13" x14ac:dyDescent="0.3">
      <c r="A55" s="241"/>
      <c r="B55" s="108" t="s">
        <v>25</v>
      </c>
      <c r="C55" s="244">
        <v>-872509.42366770958</v>
      </c>
      <c r="D55" s="245">
        <v>-951209.02416253206</v>
      </c>
      <c r="E55" s="245">
        <v>-955638.006008561</v>
      </c>
      <c r="F55" s="245">
        <v>-876938.40551373851</v>
      </c>
      <c r="G55" s="245">
        <v>-1011852.0063620058</v>
      </c>
      <c r="H55" s="245">
        <v>-1268732.9534316869</v>
      </c>
      <c r="I55" s="245">
        <v>-1336530.4447670532</v>
      </c>
      <c r="J55" s="245">
        <v>-957688.41603173129</v>
      </c>
      <c r="K55" s="245">
        <v>-873840.90981031768</v>
      </c>
      <c r="L55" s="245">
        <v>-826061.88391878596</v>
      </c>
      <c r="M55" s="245">
        <v>-601687.83095757314</v>
      </c>
      <c r="N55" s="245">
        <v>-608714.15829456318</v>
      </c>
      <c r="O55" s="246">
        <v>-11141403.462926261</v>
      </c>
    </row>
    <row r="56" spans="1:15" ht="13" x14ac:dyDescent="0.3">
      <c r="A56" s="241"/>
      <c r="B56" s="108" t="s">
        <v>26</v>
      </c>
      <c r="C56" s="244">
        <v>-37864.197356208104</v>
      </c>
      <c r="D56" s="245">
        <v>-41279.515430899264</v>
      </c>
      <c r="E56" s="245">
        <v>-41471.719478392704</v>
      </c>
      <c r="F56" s="245">
        <v>-38056.401403701551</v>
      </c>
      <c r="G56" s="245">
        <v>-43911.232388886398</v>
      </c>
      <c r="H56" s="245">
        <v>-55059.067143506036</v>
      </c>
      <c r="I56" s="245">
        <v>-58001.26756282874</v>
      </c>
      <c r="J56" s="245">
        <v>-60455.565400052685</v>
      </c>
      <c r="K56" s="245">
        <v>-55162.561630617893</v>
      </c>
      <c r="L56" s="245">
        <v>-52146.436577643886</v>
      </c>
      <c r="M56" s="245">
        <v>-37982.47677005022</v>
      </c>
      <c r="N56" s="245">
        <v>-38426.024571958165</v>
      </c>
      <c r="O56" s="246">
        <v>-559816.46571474569</v>
      </c>
    </row>
    <row r="57" spans="1:15" ht="13" x14ac:dyDescent="0.3">
      <c r="A57" s="241"/>
      <c r="B57" s="108" t="s">
        <v>27</v>
      </c>
      <c r="C57" s="244">
        <v>-910373.62102391769</v>
      </c>
      <c r="D57" s="245">
        <v>-992488.53959343128</v>
      </c>
      <c r="E57" s="245">
        <v>-997109.72548695374</v>
      </c>
      <c r="F57" s="245">
        <v>-914994.80691744003</v>
      </c>
      <c r="G57" s="245">
        <v>-1055763.2387508922</v>
      </c>
      <c r="H57" s="245">
        <v>-1323792.020575193</v>
      </c>
      <c r="I57" s="245">
        <v>-1394531.712329882</v>
      </c>
      <c r="J57" s="245">
        <v>-1018143.981431784</v>
      </c>
      <c r="K57" s="245">
        <v>-929003.47144093562</v>
      </c>
      <c r="L57" s="245">
        <v>-878208.32049642981</v>
      </c>
      <c r="M57" s="245">
        <v>-639670.30772762338</v>
      </c>
      <c r="N57" s="245">
        <v>-647140.1828665213</v>
      </c>
      <c r="O57" s="246">
        <v>-11701219.928641004</v>
      </c>
    </row>
    <row r="58" spans="1:15" x14ac:dyDescent="0.25">
      <c r="A58" s="241"/>
      <c r="B58" s="108" t="s">
        <v>51</v>
      </c>
      <c r="C58" s="109">
        <v>2317397.6800000002</v>
      </c>
      <c r="D58" s="97">
        <v>2526424.96</v>
      </c>
      <c r="E58" s="97">
        <v>2538188.4</v>
      </c>
      <c r="F58" s="97">
        <v>2329161.12</v>
      </c>
      <c r="G58" s="97">
        <v>2687493.6</v>
      </c>
      <c r="H58" s="97">
        <v>3369773.12</v>
      </c>
      <c r="I58" s="97">
        <v>3549844.2399999998</v>
      </c>
      <c r="J58" s="97">
        <v>3264657.6</v>
      </c>
      <c r="K58" s="97">
        <v>2978830.4</v>
      </c>
      <c r="L58" s="97">
        <v>2815956.8</v>
      </c>
      <c r="M58" s="97">
        <v>2051089.5999999999</v>
      </c>
      <c r="N58" s="97">
        <v>2075041.5999999999</v>
      </c>
      <c r="O58" s="110">
        <v>32503859.120000001</v>
      </c>
    </row>
    <row r="59" spans="1:15" x14ac:dyDescent="0.25">
      <c r="A59" s="241"/>
      <c r="B59" s="108" t="s">
        <v>91</v>
      </c>
      <c r="C59" s="109">
        <v>0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110">
        <v>0</v>
      </c>
    </row>
    <row r="60" spans="1:15" x14ac:dyDescent="0.25">
      <c r="A60" s="241"/>
      <c r="B60" s="108" t="s">
        <v>93</v>
      </c>
      <c r="C60" s="109">
        <v>0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110">
        <v>0</v>
      </c>
    </row>
    <row r="61" spans="1:15" x14ac:dyDescent="0.25">
      <c r="A61" s="98" t="s">
        <v>22</v>
      </c>
      <c r="B61" s="98" t="s">
        <v>72</v>
      </c>
      <c r="C61" s="105">
        <v>1690874.6990347032</v>
      </c>
      <c r="D61" s="106">
        <v>1631070.6556254011</v>
      </c>
      <c r="E61" s="106">
        <v>1676769.9718155281</v>
      </c>
      <c r="F61" s="106">
        <v>1381699.0783903864</v>
      </c>
      <c r="G61" s="106">
        <v>1721905.0989168882</v>
      </c>
      <c r="H61" s="106">
        <v>1896803.7164346587</v>
      </c>
      <c r="I61" s="106">
        <v>1950401.679867524</v>
      </c>
      <c r="J61" s="106">
        <v>2067188.8212422931</v>
      </c>
      <c r="K61" s="106">
        <v>1959992.8943765629</v>
      </c>
      <c r="L61" s="106">
        <v>1862388.1820198717</v>
      </c>
      <c r="M61" s="106">
        <v>1654202.4082648482</v>
      </c>
      <c r="N61" s="106">
        <v>1601732.823009517</v>
      </c>
      <c r="O61" s="107">
        <v>21095030.028998185</v>
      </c>
    </row>
    <row r="62" spans="1:15" ht="13" x14ac:dyDescent="0.3">
      <c r="A62" s="241"/>
      <c r="B62" s="108" t="s">
        <v>25</v>
      </c>
      <c r="C62" s="244">
        <v>-1021050.6609652967</v>
      </c>
      <c r="D62" s="245">
        <v>-984937.42437459901</v>
      </c>
      <c r="E62" s="245">
        <v>-1012533.3881844718</v>
      </c>
      <c r="F62" s="245">
        <v>-834352.04160961369</v>
      </c>
      <c r="G62" s="245">
        <v>-1039788.6610831115</v>
      </c>
      <c r="H62" s="245">
        <v>-1145402.8435653413</v>
      </c>
      <c r="I62" s="245">
        <v>-1177768.4801324762</v>
      </c>
      <c r="J62" s="245">
        <v>-858148.77875770698</v>
      </c>
      <c r="K62" s="245">
        <v>-813648.70562343718</v>
      </c>
      <c r="L62" s="245">
        <v>-773130.21798012825</v>
      </c>
      <c r="M62" s="245">
        <v>-686706.39173515164</v>
      </c>
      <c r="N62" s="245">
        <v>-664924.77699048305</v>
      </c>
      <c r="O62" s="246">
        <v>-11012392.371001815</v>
      </c>
    </row>
    <row r="63" spans="1:15" ht="13" x14ac:dyDescent="0.3">
      <c r="A63" s="241"/>
      <c r="B63" s="108" t="s">
        <v>26</v>
      </c>
      <c r="C63" s="244">
        <v>-44310.425410603544</v>
      </c>
      <c r="D63" s="245">
        <v>-42743.223177195483</v>
      </c>
      <c r="E63" s="245">
        <v>-43940.80224234693</v>
      </c>
      <c r="F63" s="245">
        <v>-36208.285562418445</v>
      </c>
      <c r="G63" s="245">
        <v>-45123.596380768111</v>
      </c>
      <c r="H63" s="245">
        <v>-49706.923667150193</v>
      </c>
      <c r="I63" s="245">
        <v>-51111.491706525339</v>
      </c>
      <c r="J63" s="245">
        <v>-54171.971539690152</v>
      </c>
      <c r="K63" s="245">
        <v>-51362.835460939845</v>
      </c>
      <c r="L63" s="245">
        <v>-48805.043136604043</v>
      </c>
      <c r="M63" s="245">
        <v>-43349.405173136336</v>
      </c>
      <c r="N63" s="245">
        <v>-41974.406987221708</v>
      </c>
      <c r="O63" s="246">
        <v>-552808.41044460016</v>
      </c>
    </row>
    <row r="64" spans="1:15" ht="13" x14ac:dyDescent="0.3">
      <c r="A64" s="241"/>
      <c r="B64" s="108" t="s">
        <v>27</v>
      </c>
      <c r="C64" s="244">
        <v>-1065361.0863759003</v>
      </c>
      <c r="D64" s="245">
        <v>-1027680.6475517945</v>
      </c>
      <c r="E64" s="245">
        <v>-1056474.1904268188</v>
      </c>
      <c r="F64" s="245">
        <v>-870560.32717203209</v>
      </c>
      <c r="G64" s="245">
        <v>-1084912.2574638797</v>
      </c>
      <c r="H64" s="245">
        <v>-1195109.7672324914</v>
      </c>
      <c r="I64" s="245">
        <v>-1228879.9718390016</v>
      </c>
      <c r="J64" s="245">
        <v>-912320.75029739714</v>
      </c>
      <c r="K64" s="245">
        <v>-865011.54108437698</v>
      </c>
      <c r="L64" s="245">
        <v>-821935.26111673226</v>
      </c>
      <c r="M64" s="245">
        <v>-730055.79690828803</v>
      </c>
      <c r="N64" s="245">
        <v>-706899.18397770473</v>
      </c>
      <c r="O64" s="246">
        <v>-11565200.781446416</v>
      </c>
    </row>
    <row r="65" spans="1:15" x14ac:dyDescent="0.25">
      <c r="A65" s="241"/>
      <c r="B65" s="108" t="s">
        <v>51</v>
      </c>
      <c r="C65" s="109">
        <v>2711925.36</v>
      </c>
      <c r="D65" s="97">
        <v>2616008.08</v>
      </c>
      <c r="E65" s="97">
        <v>2689303.36</v>
      </c>
      <c r="F65" s="97">
        <v>2216051.12</v>
      </c>
      <c r="G65" s="97">
        <v>2761693.76</v>
      </c>
      <c r="H65" s="97">
        <v>3042206.56</v>
      </c>
      <c r="I65" s="97">
        <v>3128170.16</v>
      </c>
      <c r="J65" s="97">
        <v>2925337.6</v>
      </c>
      <c r="K65" s="97">
        <v>2773641.6</v>
      </c>
      <c r="L65" s="97">
        <v>2635518.4</v>
      </c>
      <c r="M65" s="97">
        <v>2340908.7999999998</v>
      </c>
      <c r="N65" s="97">
        <v>2266657.6</v>
      </c>
      <c r="O65" s="110">
        <v>32107422.400000002</v>
      </c>
    </row>
    <row r="66" spans="1:15" x14ac:dyDescent="0.25">
      <c r="A66" s="241"/>
      <c r="B66" s="108" t="s">
        <v>91</v>
      </c>
      <c r="C66" s="109">
        <v>0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110">
        <v>0</v>
      </c>
    </row>
    <row r="67" spans="1:15" x14ac:dyDescent="0.25">
      <c r="A67" s="241"/>
      <c r="B67" s="108" t="s">
        <v>93</v>
      </c>
      <c r="C67" s="109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110">
        <v>0</v>
      </c>
    </row>
    <row r="68" spans="1:15" x14ac:dyDescent="0.25">
      <c r="A68" s="98" t="s">
        <v>9</v>
      </c>
      <c r="B68" s="98" t="s">
        <v>72</v>
      </c>
      <c r="C68" s="105">
        <v>22567.563550680057</v>
      </c>
      <c r="D68" s="106">
        <v>22567.563550680057</v>
      </c>
      <c r="E68" s="106">
        <v>24260.130816981062</v>
      </c>
      <c r="F68" s="106">
        <v>15233.105396709037</v>
      </c>
      <c r="G68" s="106">
        <v>18618.239929311047</v>
      </c>
      <c r="H68" s="106">
        <v>22003.374461913056</v>
      </c>
      <c r="I68" s="106">
        <v>22003.374461913056</v>
      </c>
      <c r="J68" s="106">
        <v>24260.130816981062</v>
      </c>
      <c r="K68" s="106">
        <v>22567.563550680057</v>
      </c>
      <c r="L68" s="106">
        <v>16925.672663010042</v>
      </c>
      <c r="M68" s="106">
        <v>20874.996284379053</v>
      </c>
      <c r="N68" s="106">
        <v>23131.752639447059</v>
      </c>
      <c r="O68" s="107">
        <v>255013.46812268463</v>
      </c>
    </row>
    <row r="69" spans="1:15" ht="13" x14ac:dyDescent="0.3">
      <c r="A69" s="241"/>
      <c r="B69" s="108" t="s">
        <v>25</v>
      </c>
      <c r="C69" s="244">
        <v>-13627.63644931994</v>
      </c>
      <c r="D69" s="245">
        <v>-13627.63644931994</v>
      </c>
      <c r="E69" s="245">
        <v>-14649.709183018935</v>
      </c>
      <c r="F69" s="245">
        <v>-9198.6546032909609</v>
      </c>
      <c r="G69" s="245">
        <v>-11242.800070688954</v>
      </c>
      <c r="H69" s="245">
        <v>-13286.945538086944</v>
      </c>
      <c r="I69" s="245">
        <v>-13286.945538086944</v>
      </c>
      <c r="J69" s="245">
        <v>-10071.069183018935</v>
      </c>
      <c r="K69" s="245">
        <v>-9368.4364493199428</v>
      </c>
      <c r="L69" s="245">
        <v>-7026.327336989958</v>
      </c>
      <c r="M69" s="245">
        <v>-8665.8037156209466</v>
      </c>
      <c r="N69" s="245">
        <v>-9602.6473605529391</v>
      </c>
      <c r="O69" s="246">
        <v>-133654.61187731533</v>
      </c>
    </row>
    <row r="70" spans="1:15" ht="13" x14ac:dyDescent="0.3">
      <c r="A70" s="241"/>
      <c r="B70" s="108" t="s">
        <v>26</v>
      </c>
      <c r="C70" s="244">
        <v>-591.39706921059121</v>
      </c>
      <c r="D70" s="245">
        <v>-591.39706921059121</v>
      </c>
      <c r="E70" s="245">
        <v>-635.75184940138558</v>
      </c>
      <c r="F70" s="245">
        <v>-399.19302171714912</v>
      </c>
      <c r="G70" s="245">
        <v>-487.90258209873775</v>
      </c>
      <c r="H70" s="245">
        <v>-576.6121424803265</v>
      </c>
      <c r="I70" s="245">
        <v>-576.6121424803265</v>
      </c>
      <c r="J70" s="245">
        <v>-635.75184940138558</v>
      </c>
      <c r="K70" s="245">
        <v>-591.39706921059121</v>
      </c>
      <c r="L70" s="245">
        <v>-443.54780190794344</v>
      </c>
      <c r="M70" s="245">
        <v>-547.04228901979684</v>
      </c>
      <c r="N70" s="245">
        <v>-606.18199594085604</v>
      </c>
      <c r="O70" s="246">
        <v>-6682.7868820796803</v>
      </c>
    </row>
    <row r="71" spans="1:15" ht="13" x14ac:dyDescent="0.3">
      <c r="A71" s="241"/>
      <c r="B71" s="108" t="s">
        <v>27</v>
      </c>
      <c r="C71" s="244">
        <v>-14219.03351853053</v>
      </c>
      <c r="D71" s="245">
        <v>-14219.03351853053</v>
      </c>
      <c r="E71" s="245">
        <v>-15285.46103242032</v>
      </c>
      <c r="F71" s="245">
        <v>-9597.8476250081094</v>
      </c>
      <c r="G71" s="245">
        <v>-11730.702652787691</v>
      </c>
      <c r="H71" s="245">
        <v>-13863.55768056727</v>
      </c>
      <c r="I71" s="245">
        <v>-13863.55768056727</v>
      </c>
      <c r="J71" s="245">
        <v>-10706.821032420321</v>
      </c>
      <c r="K71" s="245">
        <v>-9959.8335185305332</v>
      </c>
      <c r="L71" s="245">
        <v>-7469.8751388979017</v>
      </c>
      <c r="M71" s="245">
        <v>-9212.8460046407436</v>
      </c>
      <c r="N71" s="245">
        <v>-10208.829356493796</v>
      </c>
      <c r="O71" s="246">
        <v>-140337.39875939503</v>
      </c>
    </row>
    <row r="72" spans="1:15" x14ac:dyDescent="0.25">
      <c r="A72" s="241"/>
      <c r="B72" s="108" t="s">
        <v>51</v>
      </c>
      <c r="C72" s="109">
        <v>36195.199999999997</v>
      </c>
      <c r="D72" s="97">
        <v>36195.199999999997</v>
      </c>
      <c r="E72" s="97">
        <v>38909.839999999997</v>
      </c>
      <c r="F72" s="97">
        <v>24431.759999999998</v>
      </c>
      <c r="G72" s="97">
        <v>29861.040000000001</v>
      </c>
      <c r="H72" s="97">
        <v>35290.32</v>
      </c>
      <c r="I72" s="97">
        <v>35290.32</v>
      </c>
      <c r="J72" s="97">
        <v>34331.199999999997</v>
      </c>
      <c r="K72" s="97">
        <v>31936</v>
      </c>
      <c r="L72" s="97">
        <v>23952</v>
      </c>
      <c r="M72" s="97">
        <v>29540.799999999999</v>
      </c>
      <c r="N72" s="97">
        <v>32734.399999999998</v>
      </c>
      <c r="O72" s="110">
        <v>388668.08</v>
      </c>
    </row>
    <row r="73" spans="1:15" x14ac:dyDescent="0.25">
      <c r="A73" s="241"/>
      <c r="B73" s="108" t="s">
        <v>91</v>
      </c>
      <c r="C73" s="109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110">
        <v>0</v>
      </c>
    </row>
    <row r="74" spans="1:15" x14ac:dyDescent="0.25">
      <c r="A74" s="241"/>
      <c r="B74" s="108" t="s">
        <v>93</v>
      </c>
      <c r="C74" s="109">
        <v>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0</v>
      </c>
      <c r="K74" s="97">
        <v>0</v>
      </c>
      <c r="L74" s="97">
        <v>0</v>
      </c>
      <c r="M74" s="97">
        <v>0</v>
      </c>
      <c r="N74" s="97">
        <v>0</v>
      </c>
      <c r="O74" s="110">
        <v>0</v>
      </c>
    </row>
    <row r="75" spans="1:15" x14ac:dyDescent="0.25">
      <c r="A75" s="98" t="s">
        <v>56</v>
      </c>
      <c r="B75" s="98" t="s">
        <v>72</v>
      </c>
      <c r="C75" s="105">
        <v>60932.42158683615</v>
      </c>
      <c r="D75" s="106">
        <v>65445.934296972162</v>
      </c>
      <c r="E75" s="106">
        <v>64881.74520820516</v>
      </c>
      <c r="F75" s="106">
        <v>54162.152521632132</v>
      </c>
      <c r="G75" s="106">
        <v>71652.014273409179</v>
      </c>
      <c r="H75" s="106">
        <v>80679.039693681203</v>
      </c>
      <c r="I75" s="106">
        <v>86320.930581351218</v>
      </c>
      <c r="J75" s="106">
        <v>91398.632380254232</v>
      </c>
      <c r="K75" s="106">
        <v>81807.417871215206</v>
      </c>
      <c r="L75" s="106">
        <v>75601.337894778189</v>
      </c>
      <c r="M75" s="106">
        <v>59239.854320535145</v>
      </c>
      <c r="N75" s="106">
        <v>59804.043409302147</v>
      </c>
      <c r="O75" s="107">
        <v>851925.52403817233</v>
      </c>
    </row>
    <row r="76" spans="1:15" x14ac:dyDescent="0.25">
      <c r="A76" s="241"/>
      <c r="B76" s="108" t="s">
        <v>25</v>
      </c>
      <c r="C76" s="109">
        <v>-36794.618413163844</v>
      </c>
      <c r="D76" s="97">
        <v>-39520.14570302784</v>
      </c>
      <c r="E76" s="97">
        <v>-39179.454791794837</v>
      </c>
      <c r="F76" s="97">
        <v>-32706.327478367864</v>
      </c>
      <c r="G76" s="97">
        <v>-43267.745726590816</v>
      </c>
      <c r="H76" s="97">
        <v>-48718.800306318793</v>
      </c>
      <c r="I76" s="97">
        <v>-52125.709418648767</v>
      </c>
      <c r="J76" s="97">
        <v>-37942.167619745771</v>
      </c>
      <c r="K76" s="97">
        <v>-33960.582128784794</v>
      </c>
      <c r="L76" s="97">
        <v>-31384.262105221802</v>
      </c>
      <c r="M76" s="97">
        <v>-24592.145679464855</v>
      </c>
      <c r="N76" s="97">
        <v>-24826.356590697847</v>
      </c>
      <c r="O76" s="110">
        <v>-445018.31596182782</v>
      </c>
    </row>
    <row r="77" spans="1:15" x14ac:dyDescent="0.25">
      <c r="A77" s="241"/>
      <c r="B77" s="108" t="s">
        <v>26</v>
      </c>
      <c r="C77" s="109">
        <v>-1596.7720868685965</v>
      </c>
      <c r="D77" s="97">
        <v>-1715.0515007107147</v>
      </c>
      <c r="E77" s="97">
        <v>-1700.2665739804497</v>
      </c>
      <c r="F77" s="97">
        <v>-1419.352966105419</v>
      </c>
      <c r="G77" s="97">
        <v>-1877.6856947436272</v>
      </c>
      <c r="H77" s="97">
        <v>-2114.2445224278636</v>
      </c>
      <c r="I77" s="97">
        <v>-2262.0937897305116</v>
      </c>
      <c r="J77" s="97">
        <v>-2395.1581303028943</v>
      </c>
      <c r="K77" s="97">
        <v>-2143.8143758883934</v>
      </c>
      <c r="L77" s="97">
        <v>-1981.1801818554804</v>
      </c>
      <c r="M77" s="97">
        <v>-1552.4173066778019</v>
      </c>
      <c r="N77" s="97">
        <v>-1567.2022334080666</v>
      </c>
      <c r="O77" s="110">
        <v>-22325.239362699824</v>
      </c>
    </row>
    <row r="78" spans="1:15" x14ac:dyDescent="0.25">
      <c r="A78" s="241"/>
      <c r="B78" s="108" t="s">
        <v>27</v>
      </c>
      <c r="C78" s="109">
        <v>-38391.390500032438</v>
      </c>
      <c r="D78" s="97">
        <v>-41235.197203738557</v>
      </c>
      <c r="E78" s="97">
        <v>-40879.721365775287</v>
      </c>
      <c r="F78" s="97">
        <v>-34125.680444473284</v>
      </c>
      <c r="G78" s="97">
        <v>-45145.431421334441</v>
      </c>
      <c r="H78" s="97">
        <v>-50833.044828746657</v>
      </c>
      <c r="I78" s="97">
        <v>-54387.803208379279</v>
      </c>
      <c r="J78" s="97">
        <v>-40337.325750048665</v>
      </c>
      <c r="K78" s="97">
        <v>-36104.39650467319</v>
      </c>
      <c r="L78" s="97">
        <v>-33365.442287077283</v>
      </c>
      <c r="M78" s="97">
        <v>-26144.562986142657</v>
      </c>
      <c r="N78" s="97">
        <v>-26393.558824105916</v>
      </c>
      <c r="O78" s="110">
        <v>-467343.55532452767</v>
      </c>
    </row>
    <row r="79" spans="1:15" x14ac:dyDescent="0.25">
      <c r="A79" s="241"/>
      <c r="B79" s="108" t="s">
        <v>51</v>
      </c>
      <c r="C79" s="109">
        <v>97727.039999999994</v>
      </c>
      <c r="D79" s="97">
        <v>104966.08</v>
      </c>
      <c r="E79" s="97">
        <v>104061.2</v>
      </c>
      <c r="F79" s="97">
        <v>86868.479999999996</v>
      </c>
      <c r="G79" s="97">
        <v>114919.76</v>
      </c>
      <c r="H79" s="97">
        <v>129397.84</v>
      </c>
      <c r="I79" s="97">
        <v>138446.63999999998</v>
      </c>
      <c r="J79" s="97">
        <v>129340.8</v>
      </c>
      <c r="K79" s="97">
        <v>115768</v>
      </c>
      <c r="L79" s="97">
        <v>106985.59999999999</v>
      </c>
      <c r="M79" s="97">
        <v>83832</v>
      </c>
      <c r="N79" s="97">
        <v>84630.399999999994</v>
      </c>
      <c r="O79" s="110">
        <v>1296943.8400000001</v>
      </c>
    </row>
    <row r="80" spans="1:15" x14ac:dyDescent="0.25">
      <c r="A80" s="241"/>
      <c r="B80" s="108" t="s">
        <v>91</v>
      </c>
      <c r="C80" s="109">
        <v>0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  <c r="N80" s="97">
        <v>0</v>
      </c>
      <c r="O80" s="110">
        <v>0</v>
      </c>
    </row>
    <row r="81" spans="1:15" x14ac:dyDescent="0.25">
      <c r="A81" s="241"/>
      <c r="B81" s="108" t="s">
        <v>93</v>
      </c>
      <c r="C81" s="109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110">
        <v>0</v>
      </c>
    </row>
    <row r="82" spans="1:15" x14ac:dyDescent="0.25">
      <c r="A82" s="98" t="s">
        <v>57</v>
      </c>
      <c r="B82" s="98" t="s">
        <v>72</v>
      </c>
      <c r="C82" s="105">
        <v>6206.0799764370158</v>
      </c>
      <c r="D82" s="106">
        <v>5077.7017989030128</v>
      </c>
      <c r="E82" s="106">
        <v>6770.2690652040164</v>
      </c>
      <c r="F82" s="106">
        <v>5641.8908876700143</v>
      </c>
      <c r="G82" s="106">
        <v>7334.458153971018</v>
      </c>
      <c r="H82" s="106">
        <v>6770.2690652040164</v>
      </c>
      <c r="I82" s="106">
        <v>7898.6472427380195</v>
      </c>
      <c r="J82" s="106">
        <v>9027.0254202720225</v>
      </c>
      <c r="K82" s="106">
        <v>7334.458153971018</v>
      </c>
      <c r="L82" s="106">
        <v>6770.2690652040164</v>
      </c>
      <c r="M82" s="106">
        <v>5077.7017989030128</v>
      </c>
      <c r="N82" s="106">
        <v>5641.8908876700143</v>
      </c>
      <c r="O82" s="107">
        <v>79550.6615161472</v>
      </c>
    </row>
    <row r="83" spans="1:15" x14ac:dyDescent="0.25">
      <c r="A83" s="241"/>
      <c r="B83" s="108" t="s">
        <v>25</v>
      </c>
      <c r="C83" s="109">
        <v>-3747.6000235629845</v>
      </c>
      <c r="D83" s="97">
        <v>-3066.2182010969873</v>
      </c>
      <c r="E83" s="97">
        <v>-4088.290934795983</v>
      </c>
      <c r="F83" s="97">
        <v>-3406.909112329985</v>
      </c>
      <c r="G83" s="97">
        <v>-4428.9818460289825</v>
      </c>
      <c r="H83" s="97">
        <v>-4088.290934795983</v>
      </c>
      <c r="I83" s="97">
        <v>-4769.6727572619802</v>
      </c>
      <c r="J83" s="97">
        <v>-3747.3745797279771</v>
      </c>
      <c r="K83" s="97">
        <v>-3044.7418460289809</v>
      </c>
      <c r="L83" s="97">
        <v>-2810.5309347959828</v>
      </c>
      <c r="M83" s="97">
        <v>-2107.8982010969867</v>
      </c>
      <c r="N83" s="97">
        <v>-2342.1091123299857</v>
      </c>
      <c r="O83" s="110">
        <v>-41648.618483852792</v>
      </c>
    </row>
    <row r="84" spans="1:15" x14ac:dyDescent="0.25">
      <c r="A84" s="241"/>
      <c r="B84" s="108" t="s">
        <v>26</v>
      </c>
      <c r="C84" s="109">
        <v>-162.63419403291257</v>
      </c>
      <c r="D84" s="97">
        <v>-133.06434057238303</v>
      </c>
      <c r="E84" s="97">
        <v>-177.41912076317738</v>
      </c>
      <c r="F84" s="97">
        <v>-147.8492673026478</v>
      </c>
      <c r="G84" s="97">
        <v>-192.20404749344218</v>
      </c>
      <c r="H84" s="97">
        <v>-177.41912076317738</v>
      </c>
      <c r="I84" s="97">
        <v>-206.98897422370695</v>
      </c>
      <c r="J84" s="97">
        <v>-236.55882768423649</v>
      </c>
      <c r="K84" s="97">
        <v>-192.20404749344218</v>
      </c>
      <c r="L84" s="97">
        <v>-177.41912076317738</v>
      </c>
      <c r="M84" s="97">
        <v>-133.06434057238303</v>
      </c>
      <c r="N84" s="97">
        <v>-147.8492673026478</v>
      </c>
      <c r="O84" s="110">
        <v>-2084.6746689673341</v>
      </c>
    </row>
    <row r="85" spans="1:15" x14ac:dyDescent="0.25">
      <c r="A85" s="241"/>
      <c r="B85" s="108" t="s">
        <v>27</v>
      </c>
      <c r="C85" s="109">
        <v>-3910.234217595897</v>
      </c>
      <c r="D85" s="97">
        <v>-3199.2825416693704</v>
      </c>
      <c r="E85" s="97">
        <v>-4265.7100555591605</v>
      </c>
      <c r="F85" s="97">
        <v>-3554.7583796326326</v>
      </c>
      <c r="G85" s="97">
        <v>-4621.1858935224245</v>
      </c>
      <c r="H85" s="97">
        <v>-4265.7100555591605</v>
      </c>
      <c r="I85" s="97">
        <v>-4976.6617314856876</v>
      </c>
      <c r="J85" s="97">
        <v>-3983.9334074122135</v>
      </c>
      <c r="K85" s="97">
        <v>-3236.9458935224229</v>
      </c>
      <c r="L85" s="97">
        <v>-2987.9500555591603</v>
      </c>
      <c r="M85" s="97">
        <v>-2240.9625416693698</v>
      </c>
      <c r="N85" s="97">
        <v>-2489.9583796326333</v>
      </c>
      <c r="O85" s="110">
        <v>-43733.29315282013</v>
      </c>
    </row>
    <row r="86" spans="1:15" x14ac:dyDescent="0.25">
      <c r="A86" s="241"/>
      <c r="B86" s="108" t="s">
        <v>51</v>
      </c>
      <c r="C86" s="109">
        <v>9953.68</v>
      </c>
      <c r="D86" s="97">
        <v>8143.92</v>
      </c>
      <c r="E86" s="97">
        <v>10858.56</v>
      </c>
      <c r="F86" s="97">
        <v>9048.7999999999993</v>
      </c>
      <c r="G86" s="97">
        <v>11763.44</v>
      </c>
      <c r="H86" s="97">
        <v>10858.56</v>
      </c>
      <c r="I86" s="97">
        <v>12668.32</v>
      </c>
      <c r="J86" s="97">
        <v>12774.4</v>
      </c>
      <c r="K86" s="97">
        <v>10379.199999999999</v>
      </c>
      <c r="L86" s="97">
        <v>9580.7999999999993</v>
      </c>
      <c r="M86" s="97">
        <v>7185.5999999999995</v>
      </c>
      <c r="N86" s="97">
        <v>7984</v>
      </c>
      <c r="O86" s="110">
        <v>121199.28</v>
      </c>
    </row>
    <row r="87" spans="1:15" x14ac:dyDescent="0.25">
      <c r="A87" s="241"/>
      <c r="B87" s="108" t="s">
        <v>91</v>
      </c>
      <c r="C87" s="109">
        <v>0</v>
      </c>
      <c r="D87" s="97">
        <v>0</v>
      </c>
      <c r="E87" s="97">
        <v>0</v>
      </c>
      <c r="F87" s="97">
        <v>0</v>
      </c>
      <c r="G87" s="97">
        <v>0</v>
      </c>
      <c r="H87" s="97">
        <v>0</v>
      </c>
      <c r="I87" s="97">
        <v>0</v>
      </c>
      <c r="J87" s="97">
        <v>0</v>
      </c>
      <c r="K87" s="97">
        <v>0</v>
      </c>
      <c r="L87" s="97">
        <v>0</v>
      </c>
      <c r="M87" s="97">
        <v>0</v>
      </c>
      <c r="N87" s="97">
        <v>0</v>
      </c>
      <c r="O87" s="110">
        <v>0</v>
      </c>
    </row>
    <row r="88" spans="1:15" x14ac:dyDescent="0.25">
      <c r="A88" s="241"/>
      <c r="B88" s="108" t="s">
        <v>93</v>
      </c>
      <c r="C88" s="109">
        <v>0</v>
      </c>
      <c r="D88" s="97">
        <v>0</v>
      </c>
      <c r="E88" s="97">
        <v>0</v>
      </c>
      <c r="F88" s="97">
        <v>0</v>
      </c>
      <c r="G88" s="97">
        <v>0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110">
        <v>0</v>
      </c>
    </row>
    <row r="89" spans="1:15" x14ac:dyDescent="0.25">
      <c r="A89" s="98" t="s">
        <v>58</v>
      </c>
      <c r="B89" s="98" t="s">
        <v>72</v>
      </c>
      <c r="C89" s="105">
        <v>12412.159952874032</v>
      </c>
      <c r="D89" s="106">
        <v>11283.781775340029</v>
      </c>
      <c r="E89" s="106">
        <v>11847.97086410703</v>
      </c>
      <c r="F89" s="106">
        <v>11847.97086410703</v>
      </c>
      <c r="G89" s="106">
        <v>16925.672663010042</v>
      </c>
      <c r="H89" s="106">
        <v>18054.050840544045</v>
      </c>
      <c r="I89" s="106">
        <v>18618.239929311047</v>
      </c>
      <c r="J89" s="106">
        <v>20310.807195612051</v>
      </c>
      <c r="K89" s="106">
        <v>19182.429018078048</v>
      </c>
      <c r="L89" s="106">
        <v>19182.429018078048</v>
      </c>
      <c r="M89" s="106">
        <v>11847.97086410703</v>
      </c>
      <c r="N89" s="106">
        <v>11847.97086410703</v>
      </c>
      <c r="O89" s="107">
        <v>183361.45384927545</v>
      </c>
    </row>
    <row r="90" spans="1:15" x14ac:dyDescent="0.25">
      <c r="A90" s="241"/>
      <c r="B90" s="108" t="s">
        <v>25</v>
      </c>
      <c r="C90" s="109">
        <v>-7495.2000471259689</v>
      </c>
      <c r="D90" s="97">
        <v>-6813.8182246599699</v>
      </c>
      <c r="E90" s="97">
        <v>-7154.5091358929694</v>
      </c>
      <c r="F90" s="97">
        <v>-7154.5091358929694</v>
      </c>
      <c r="G90" s="97">
        <v>-10220.727336989959</v>
      </c>
      <c r="H90" s="97">
        <v>-10902.109159455955</v>
      </c>
      <c r="I90" s="97">
        <v>-11242.800070688954</v>
      </c>
      <c r="J90" s="97">
        <v>-8431.5928043879467</v>
      </c>
      <c r="K90" s="97">
        <v>-7963.1709819219504</v>
      </c>
      <c r="L90" s="97">
        <v>-7963.1709819219504</v>
      </c>
      <c r="M90" s="97">
        <v>-4918.4291358929677</v>
      </c>
      <c r="N90" s="97">
        <v>-4918.4291358929677</v>
      </c>
      <c r="O90" s="110">
        <v>-95178.466150724533</v>
      </c>
    </row>
    <row r="91" spans="1:15" x14ac:dyDescent="0.25">
      <c r="A91" s="241"/>
      <c r="B91" s="108" t="s">
        <v>26</v>
      </c>
      <c r="C91" s="109">
        <v>-325.26838806582515</v>
      </c>
      <c r="D91" s="97">
        <v>-295.69853460529561</v>
      </c>
      <c r="E91" s="97">
        <v>-310.48346133556038</v>
      </c>
      <c r="F91" s="97">
        <v>-310.48346133556038</v>
      </c>
      <c r="G91" s="97">
        <v>-443.54780190794344</v>
      </c>
      <c r="H91" s="97">
        <v>-473.11765536847298</v>
      </c>
      <c r="I91" s="97">
        <v>-487.90258209873775</v>
      </c>
      <c r="J91" s="97">
        <v>-532.25736228953213</v>
      </c>
      <c r="K91" s="97">
        <v>-502.68750882900252</v>
      </c>
      <c r="L91" s="97">
        <v>-502.68750882900252</v>
      </c>
      <c r="M91" s="97">
        <v>-310.48346133556038</v>
      </c>
      <c r="N91" s="97">
        <v>-310.48346133556038</v>
      </c>
      <c r="O91" s="110">
        <v>-4805.101187336054</v>
      </c>
    </row>
    <row r="92" spans="1:15" x14ac:dyDescent="0.25">
      <c r="A92" s="241"/>
      <c r="B92" s="108" t="s">
        <v>27</v>
      </c>
      <c r="C92" s="109">
        <v>-7820.468435191794</v>
      </c>
      <c r="D92" s="97">
        <v>-7109.5167592652651</v>
      </c>
      <c r="E92" s="97">
        <v>-7464.99259722853</v>
      </c>
      <c r="F92" s="97">
        <v>-7464.99259722853</v>
      </c>
      <c r="G92" s="97">
        <v>-10664.275138897903</v>
      </c>
      <c r="H92" s="97">
        <v>-11375.226814824427</v>
      </c>
      <c r="I92" s="97">
        <v>-11730.702652787691</v>
      </c>
      <c r="J92" s="97">
        <v>-8963.8501666774791</v>
      </c>
      <c r="K92" s="97">
        <v>-8465.8584907509521</v>
      </c>
      <c r="L92" s="97">
        <v>-8465.8584907509521</v>
      </c>
      <c r="M92" s="97">
        <v>-5228.9125972285283</v>
      </c>
      <c r="N92" s="97">
        <v>-5228.9125972285283</v>
      </c>
      <c r="O92" s="110">
        <v>-99983.567338060573</v>
      </c>
    </row>
    <row r="93" spans="1:15" x14ac:dyDescent="0.25">
      <c r="A93" s="241"/>
      <c r="B93" s="108" t="s">
        <v>51</v>
      </c>
      <c r="C93" s="109">
        <v>19907.36</v>
      </c>
      <c r="D93" s="97">
        <v>18097.599999999999</v>
      </c>
      <c r="E93" s="97">
        <v>19002.48</v>
      </c>
      <c r="F93" s="97">
        <v>19002.48</v>
      </c>
      <c r="G93" s="97">
        <v>27146.400000000001</v>
      </c>
      <c r="H93" s="97">
        <v>28956.16</v>
      </c>
      <c r="I93" s="97">
        <v>29861.040000000001</v>
      </c>
      <c r="J93" s="97">
        <v>28742.399999999998</v>
      </c>
      <c r="K93" s="97">
        <v>27145.599999999999</v>
      </c>
      <c r="L93" s="97">
        <v>27145.599999999999</v>
      </c>
      <c r="M93" s="97">
        <v>16766.399999999998</v>
      </c>
      <c r="N93" s="97">
        <v>16766.399999999998</v>
      </c>
      <c r="O93" s="110">
        <v>278539.92000000004</v>
      </c>
    </row>
    <row r="94" spans="1:15" x14ac:dyDescent="0.25">
      <c r="A94" s="241"/>
      <c r="B94" s="108" t="s">
        <v>91</v>
      </c>
      <c r="C94" s="109">
        <v>0</v>
      </c>
      <c r="D94" s="97">
        <v>0</v>
      </c>
      <c r="E94" s="97">
        <v>0</v>
      </c>
      <c r="F94" s="97">
        <v>0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  <c r="N94" s="97">
        <v>0</v>
      </c>
      <c r="O94" s="110">
        <v>0</v>
      </c>
    </row>
    <row r="95" spans="1:15" x14ac:dyDescent="0.25">
      <c r="A95" s="241"/>
      <c r="B95" s="108" t="s">
        <v>93</v>
      </c>
      <c r="C95" s="109">
        <v>0</v>
      </c>
      <c r="D95" s="97">
        <v>0</v>
      </c>
      <c r="E95" s="97">
        <v>0</v>
      </c>
      <c r="F95" s="97">
        <v>0</v>
      </c>
      <c r="G95" s="97">
        <v>0</v>
      </c>
      <c r="H95" s="97">
        <v>0</v>
      </c>
      <c r="I95" s="97">
        <v>0</v>
      </c>
      <c r="J95" s="97">
        <v>0</v>
      </c>
      <c r="K95" s="97">
        <v>0</v>
      </c>
      <c r="L95" s="97">
        <v>0</v>
      </c>
      <c r="M95" s="97">
        <v>0</v>
      </c>
      <c r="N95" s="97">
        <v>0</v>
      </c>
      <c r="O95" s="110">
        <v>0</v>
      </c>
    </row>
    <row r="96" spans="1:15" x14ac:dyDescent="0.25">
      <c r="A96" s="98" t="s">
        <v>59</v>
      </c>
      <c r="B96" s="98" t="s">
        <v>72</v>
      </c>
      <c r="C96" s="105">
        <v>24260.130816981062</v>
      </c>
      <c r="D96" s="106">
        <v>23695.94172821406</v>
      </c>
      <c r="E96" s="106">
        <v>23695.94172821406</v>
      </c>
      <c r="F96" s="106">
        <v>22003.374461913056</v>
      </c>
      <c r="G96" s="106">
        <v>27645.265349583067</v>
      </c>
      <c r="H96" s="106">
        <v>29337.832615884072</v>
      </c>
      <c r="I96" s="106">
        <v>29902.021704651073</v>
      </c>
      <c r="J96" s="106">
        <v>29902.021704651073</v>
      </c>
      <c r="K96" s="106">
        <v>27645.265349583067</v>
      </c>
      <c r="L96" s="106">
        <v>27645.265349583067</v>
      </c>
      <c r="M96" s="106">
        <v>19746.61810684505</v>
      </c>
      <c r="N96" s="106">
        <v>19746.61810684505</v>
      </c>
      <c r="O96" s="107">
        <v>305226.29702294781</v>
      </c>
    </row>
    <row r="97" spans="1:15" x14ac:dyDescent="0.25">
      <c r="A97" s="241"/>
      <c r="B97" s="108" t="s">
        <v>25</v>
      </c>
      <c r="C97" s="109">
        <v>-14649.709183018935</v>
      </c>
      <c r="D97" s="97">
        <v>-14309.018271785939</v>
      </c>
      <c r="E97" s="97">
        <v>-14309.018271785939</v>
      </c>
      <c r="F97" s="97">
        <v>-13286.945538086944</v>
      </c>
      <c r="G97" s="97">
        <v>-16693.854650416935</v>
      </c>
      <c r="H97" s="97">
        <v>-17715.92738411593</v>
      </c>
      <c r="I97" s="97">
        <v>-18056.618295348926</v>
      </c>
      <c r="J97" s="97">
        <v>-12413.178295348924</v>
      </c>
      <c r="K97" s="97">
        <v>-11476.334650416931</v>
      </c>
      <c r="L97" s="97">
        <v>-11476.334650416931</v>
      </c>
      <c r="M97" s="97">
        <v>-8197.3818931549504</v>
      </c>
      <c r="N97" s="97">
        <v>-8197.3818931549504</v>
      </c>
      <c r="O97" s="110">
        <v>-160781.70297705225</v>
      </c>
    </row>
    <row r="98" spans="1:15" x14ac:dyDescent="0.25">
      <c r="A98" s="241"/>
      <c r="B98" s="108" t="s">
        <v>26</v>
      </c>
      <c r="C98" s="109">
        <v>-635.75184940138558</v>
      </c>
      <c r="D98" s="97">
        <v>-620.96692267112076</v>
      </c>
      <c r="E98" s="97">
        <v>-620.96692267112076</v>
      </c>
      <c r="F98" s="97">
        <v>-576.6121424803265</v>
      </c>
      <c r="G98" s="97">
        <v>-724.46140978297421</v>
      </c>
      <c r="H98" s="97">
        <v>-768.8161899737687</v>
      </c>
      <c r="I98" s="97">
        <v>-783.6011167040333</v>
      </c>
      <c r="J98" s="97">
        <v>-783.6011167040333</v>
      </c>
      <c r="K98" s="97">
        <v>-724.46140978297421</v>
      </c>
      <c r="L98" s="97">
        <v>-724.46140978297421</v>
      </c>
      <c r="M98" s="97">
        <v>-517.4724355592673</v>
      </c>
      <c r="N98" s="97">
        <v>-517.4724355592673</v>
      </c>
      <c r="O98" s="110">
        <v>-7998.645361073246</v>
      </c>
    </row>
    <row r="99" spans="1:15" x14ac:dyDescent="0.25">
      <c r="A99" s="241"/>
      <c r="B99" s="108" t="s">
        <v>27</v>
      </c>
      <c r="C99" s="109">
        <v>-15285.46103242032</v>
      </c>
      <c r="D99" s="97">
        <v>-14929.98519445706</v>
      </c>
      <c r="E99" s="97">
        <v>-14929.98519445706</v>
      </c>
      <c r="F99" s="97">
        <v>-13863.55768056727</v>
      </c>
      <c r="G99" s="97">
        <v>-17418.316060199908</v>
      </c>
      <c r="H99" s="97">
        <v>-18484.743574089698</v>
      </c>
      <c r="I99" s="97">
        <v>-18840.21941205296</v>
      </c>
      <c r="J99" s="97">
        <v>-13196.779412052958</v>
      </c>
      <c r="K99" s="97">
        <v>-12200.796060199906</v>
      </c>
      <c r="L99" s="97">
        <v>-12200.796060199906</v>
      </c>
      <c r="M99" s="97">
        <v>-8714.8543287142184</v>
      </c>
      <c r="N99" s="97">
        <v>-8714.8543287142184</v>
      </c>
      <c r="O99" s="110">
        <v>-168780.34833812551</v>
      </c>
    </row>
    <row r="100" spans="1:15" x14ac:dyDescent="0.25">
      <c r="A100" s="241"/>
      <c r="B100" s="108" t="s">
        <v>51</v>
      </c>
      <c r="C100" s="109">
        <v>38909.839999999997</v>
      </c>
      <c r="D100" s="97">
        <v>38004.959999999999</v>
      </c>
      <c r="E100" s="97">
        <v>38004.959999999999</v>
      </c>
      <c r="F100" s="97">
        <v>35290.32</v>
      </c>
      <c r="G100" s="97">
        <v>44339.12</v>
      </c>
      <c r="H100" s="97">
        <v>47053.760000000002</v>
      </c>
      <c r="I100" s="97">
        <v>47958.64</v>
      </c>
      <c r="J100" s="97">
        <v>42315.199999999997</v>
      </c>
      <c r="K100" s="97">
        <v>39121.599999999999</v>
      </c>
      <c r="L100" s="97">
        <v>39121.599999999999</v>
      </c>
      <c r="M100" s="97">
        <v>27944</v>
      </c>
      <c r="N100" s="97">
        <v>27944</v>
      </c>
      <c r="O100" s="110">
        <v>466007.99999999994</v>
      </c>
    </row>
    <row r="101" spans="1:15" x14ac:dyDescent="0.25">
      <c r="A101" s="241"/>
      <c r="B101" s="108" t="s">
        <v>91</v>
      </c>
      <c r="C101" s="109">
        <v>0</v>
      </c>
      <c r="D101" s="97">
        <v>0</v>
      </c>
      <c r="E101" s="97">
        <v>0</v>
      </c>
      <c r="F101" s="97">
        <v>0</v>
      </c>
      <c r="G101" s="97">
        <v>0</v>
      </c>
      <c r="H101" s="97">
        <v>0</v>
      </c>
      <c r="I101" s="97">
        <v>0</v>
      </c>
      <c r="J101" s="97">
        <v>0</v>
      </c>
      <c r="K101" s="97">
        <v>0</v>
      </c>
      <c r="L101" s="97">
        <v>0</v>
      </c>
      <c r="M101" s="97">
        <v>0</v>
      </c>
      <c r="N101" s="97">
        <v>0</v>
      </c>
      <c r="O101" s="110">
        <v>0</v>
      </c>
    </row>
    <row r="102" spans="1:15" x14ac:dyDescent="0.25">
      <c r="A102" s="241"/>
      <c r="B102" s="108" t="s">
        <v>93</v>
      </c>
      <c r="C102" s="109">
        <v>0</v>
      </c>
      <c r="D102" s="97">
        <v>0</v>
      </c>
      <c r="E102" s="97">
        <v>0</v>
      </c>
      <c r="F102" s="97">
        <v>0</v>
      </c>
      <c r="G102" s="97">
        <v>0</v>
      </c>
      <c r="H102" s="97">
        <v>0</v>
      </c>
      <c r="I102" s="97">
        <v>0</v>
      </c>
      <c r="J102" s="97">
        <v>0</v>
      </c>
      <c r="K102" s="97">
        <v>0</v>
      </c>
      <c r="L102" s="97">
        <v>0</v>
      </c>
      <c r="M102" s="97">
        <v>0</v>
      </c>
      <c r="N102" s="97">
        <v>0</v>
      </c>
      <c r="O102" s="110">
        <v>0</v>
      </c>
    </row>
    <row r="103" spans="1:15" x14ac:dyDescent="0.25">
      <c r="A103" s="98" t="s">
        <v>83</v>
      </c>
      <c r="B103" s="98" t="s">
        <v>72</v>
      </c>
      <c r="C103" s="105">
        <v>88577.686936419224</v>
      </c>
      <c r="D103" s="106">
        <v>77858.094249846195</v>
      </c>
      <c r="E103" s="106">
        <v>86320.930581351218</v>
      </c>
      <c r="F103" s="106">
        <v>47956.072545195122</v>
      </c>
      <c r="G103" s="106">
        <v>64881.74520820516</v>
      </c>
      <c r="H103" s="106">
        <v>67138.501563273167</v>
      </c>
      <c r="I103" s="106">
        <v>76729.716072312192</v>
      </c>
      <c r="J103" s="106">
        <v>79550.6615161472</v>
      </c>
      <c r="K103" s="106">
        <v>77293.905161079194</v>
      </c>
      <c r="L103" s="106">
        <v>70523.636095875176</v>
      </c>
      <c r="M103" s="106">
        <v>88577.686936419224</v>
      </c>
      <c r="N103" s="106">
        <v>85756.741492584217</v>
      </c>
      <c r="O103" s="107">
        <v>911165.37835870718</v>
      </c>
    </row>
    <row r="104" spans="1:15" x14ac:dyDescent="0.25">
      <c r="A104" s="241"/>
      <c r="B104" s="108" t="s">
        <v>25</v>
      </c>
      <c r="C104" s="109">
        <v>-53488.473063580779</v>
      </c>
      <c r="D104" s="97">
        <v>-47015.345750153807</v>
      </c>
      <c r="E104" s="97">
        <v>-52125.709418648767</v>
      </c>
      <c r="F104" s="97">
        <v>-28958.727454804881</v>
      </c>
      <c r="G104" s="97">
        <v>-39179.454791794837</v>
      </c>
      <c r="H104" s="97">
        <v>-40542.218436726835</v>
      </c>
      <c r="I104" s="97">
        <v>-46333.963927687801</v>
      </c>
      <c r="J104" s="97">
        <v>-33023.738483852794</v>
      </c>
      <c r="K104" s="97">
        <v>-32086.894838920809</v>
      </c>
      <c r="L104" s="97">
        <v>-29276.363904124824</v>
      </c>
      <c r="M104" s="97">
        <v>-36771.113063580779</v>
      </c>
      <c r="N104" s="97">
        <v>-35600.058507415786</v>
      </c>
      <c r="O104" s="110">
        <v>-474402.06164129265</v>
      </c>
    </row>
    <row r="105" spans="1:15" x14ac:dyDescent="0.25">
      <c r="A105" s="241"/>
      <c r="B105" s="108" t="s">
        <v>26</v>
      </c>
      <c r="C105" s="109">
        <v>-2321.2334966515705</v>
      </c>
      <c r="D105" s="97">
        <v>-2040.3198887765395</v>
      </c>
      <c r="E105" s="97">
        <v>-2262.0937897305116</v>
      </c>
      <c r="F105" s="97">
        <v>-1256.7187720725065</v>
      </c>
      <c r="G105" s="97">
        <v>-1700.2665739804497</v>
      </c>
      <c r="H105" s="97">
        <v>-1759.4062809015088</v>
      </c>
      <c r="I105" s="97">
        <v>-2010.7500353160101</v>
      </c>
      <c r="J105" s="97">
        <v>-2084.6746689673341</v>
      </c>
      <c r="K105" s="97">
        <v>-2025.534962046275</v>
      </c>
      <c r="L105" s="97">
        <v>-1848.1158412830978</v>
      </c>
      <c r="M105" s="97">
        <v>-2321.2334966515705</v>
      </c>
      <c r="N105" s="97">
        <v>-2247.3088630002467</v>
      </c>
      <c r="O105" s="110">
        <v>-23877.656669377622</v>
      </c>
    </row>
    <row r="106" spans="1:15" x14ac:dyDescent="0.25">
      <c r="A106" s="241"/>
      <c r="B106" s="108" t="s">
        <v>27</v>
      </c>
      <c r="C106" s="109">
        <v>-55809.706560232349</v>
      </c>
      <c r="D106" s="97">
        <v>-49055.665638930346</v>
      </c>
      <c r="E106" s="97">
        <v>-54387.803208379279</v>
      </c>
      <c r="F106" s="97">
        <v>-30215.446226877386</v>
      </c>
      <c r="G106" s="97">
        <v>-40879.721365775287</v>
      </c>
      <c r="H106" s="97">
        <v>-42301.624717628343</v>
      </c>
      <c r="I106" s="97">
        <v>-48344.713963003807</v>
      </c>
      <c r="J106" s="97">
        <v>-35108.413152820125</v>
      </c>
      <c r="K106" s="97">
        <v>-34112.429800967082</v>
      </c>
      <c r="L106" s="97">
        <v>-31124.479745407923</v>
      </c>
      <c r="M106" s="97">
        <v>-39092.346560232349</v>
      </c>
      <c r="N106" s="97">
        <v>-37847.367370416032</v>
      </c>
      <c r="O106" s="110">
        <v>-498279.71831067035</v>
      </c>
    </row>
    <row r="107" spans="1:15" x14ac:dyDescent="0.25">
      <c r="A107" s="241"/>
      <c r="B107" s="108" t="s">
        <v>51</v>
      </c>
      <c r="C107" s="109">
        <v>142066.16</v>
      </c>
      <c r="D107" s="97">
        <v>124873.44</v>
      </c>
      <c r="E107" s="97">
        <v>138446.63999999998</v>
      </c>
      <c r="F107" s="97">
        <v>76914.8</v>
      </c>
      <c r="G107" s="97">
        <v>104061.2</v>
      </c>
      <c r="H107" s="97">
        <v>107680.72</v>
      </c>
      <c r="I107" s="97">
        <v>123063.67999999999</v>
      </c>
      <c r="J107" s="97">
        <v>112574.39999999999</v>
      </c>
      <c r="K107" s="97">
        <v>109380.8</v>
      </c>
      <c r="L107" s="97">
        <v>99800</v>
      </c>
      <c r="M107" s="97">
        <v>125348.8</v>
      </c>
      <c r="N107" s="97">
        <v>121356.8</v>
      </c>
      <c r="O107" s="110">
        <v>1385567.44</v>
      </c>
    </row>
    <row r="108" spans="1:15" x14ac:dyDescent="0.25">
      <c r="A108" s="241"/>
      <c r="B108" s="108" t="s">
        <v>91</v>
      </c>
      <c r="C108" s="109">
        <v>0</v>
      </c>
      <c r="D108" s="97">
        <v>0</v>
      </c>
      <c r="E108" s="97">
        <v>0</v>
      </c>
      <c r="F108" s="97">
        <v>0</v>
      </c>
      <c r="G108" s="97">
        <v>0</v>
      </c>
      <c r="H108" s="97">
        <v>0</v>
      </c>
      <c r="I108" s="97">
        <v>0</v>
      </c>
      <c r="J108" s="97">
        <v>0</v>
      </c>
      <c r="K108" s="97">
        <v>0</v>
      </c>
      <c r="L108" s="97">
        <v>0</v>
      </c>
      <c r="M108" s="97">
        <v>0</v>
      </c>
      <c r="N108" s="97">
        <v>0</v>
      </c>
      <c r="O108" s="110">
        <v>0</v>
      </c>
    </row>
    <row r="109" spans="1:15" x14ac:dyDescent="0.25">
      <c r="A109" s="241"/>
      <c r="B109" s="108" t="s">
        <v>93</v>
      </c>
      <c r="C109" s="109">
        <v>0</v>
      </c>
      <c r="D109" s="97">
        <v>0</v>
      </c>
      <c r="E109" s="97">
        <v>0</v>
      </c>
      <c r="F109" s="97">
        <v>0</v>
      </c>
      <c r="G109" s="97">
        <v>0</v>
      </c>
      <c r="H109" s="97">
        <v>0</v>
      </c>
      <c r="I109" s="97">
        <v>0</v>
      </c>
      <c r="J109" s="97">
        <v>0</v>
      </c>
      <c r="K109" s="97">
        <v>0</v>
      </c>
      <c r="L109" s="97">
        <v>0</v>
      </c>
      <c r="M109" s="97">
        <v>0</v>
      </c>
      <c r="N109" s="97">
        <v>0</v>
      </c>
      <c r="O109" s="110">
        <v>0</v>
      </c>
    </row>
    <row r="110" spans="1:15" x14ac:dyDescent="0.25">
      <c r="A110" s="98" t="s">
        <v>87</v>
      </c>
      <c r="B110" s="98" t="s">
        <v>72</v>
      </c>
      <c r="C110" s="105">
        <v>21439.185373146054</v>
      </c>
      <c r="D110" s="106">
        <v>24260.130816981062</v>
      </c>
      <c r="E110" s="106">
        <v>25388.508994515065</v>
      </c>
      <c r="F110" s="106">
        <v>12412.159952874032</v>
      </c>
      <c r="G110" s="106">
        <v>17489.861751777044</v>
      </c>
      <c r="H110" s="106">
        <v>24824.319905748063</v>
      </c>
      <c r="I110" s="106">
        <v>26516.887172049068</v>
      </c>
      <c r="J110" s="106">
        <v>28209.454438350069</v>
      </c>
      <c r="K110" s="106">
        <v>25388.508994515065</v>
      </c>
      <c r="L110" s="106">
        <v>20874.996284379053</v>
      </c>
      <c r="M110" s="106">
        <v>21439.185373146054</v>
      </c>
      <c r="N110" s="106">
        <v>21439.185373146054</v>
      </c>
      <c r="O110" s="107">
        <v>269682.38443062664</v>
      </c>
    </row>
    <row r="111" spans="1:15" x14ac:dyDescent="0.25">
      <c r="A111" s="241"/>
      <c r="B111" s="108" t="s">
        <v>25</v>
      </c>
      <c r="C111" s="109">
        <v>-12946.254626853948</v>
      </c>
      <c r="D111" s="97">
        <v>-14649.709183018935</v>
      </c>
      <c r="E111" s="97">
        <v>-15331.091005484934</v>
      </c>
      <c r="F111" s="97">
        <v>-7495.2000471259689</v>
      </c>
      <c r="G111" s="97">
        <v>-10561.418248222955</v>
      </c>
      <c r="H111" s="97">
        <v>-14990.400094251938</v>
      </c>
      <c r="I111" s="97">
        <v>-16012.472827950933</v>
      </c>
      <c r="J111" s="97">
        <v>-11710.545561649931</v>
      </c>
      <c r="K111" s="97">
        <v>-10539.491005484935</v>
      </c>
      <c r="L111" s="97">
        <v>-8665.8037156209466</v>
      </c>
      <c r="M111" s="97">
        <v>-8900.0146268539465</v>
      </c>
      <c r="N111" s="97">
        <v>-8900.0146268539465</v>
      </c>
      <c r="O111" s="110">
        <v>-140702.41556937329</v>
      </c>
    </row>
    <row r="112" spans="1:15" x14ac:dyDescent="0.25">
      <c r="A112" s="241"/>
      <c r="B112" s="108" t="s">
        <v>26</v>
      </c>
      <c r="C112" s="109">
        <v>-561.82721575006167</v>
      </c>
      <c r="D112" s="97">
        <v>-635.75184940138558</v>
      </c>
      <c r="E112" s="97">
        <v>-665.32170286191513</v>
      </c>
      <c r="F112" s="97">
        <v>-325.26838806582515</v>
      </c>
      <c r="G112" s="97">
        <v>-458.33272863820821</v>
      </c>
      <c r="H112" s="97">
        <v>-650.5367761316503</v>
      </c>
      <c r="I112" s="97">
        <v>-694.89155632244467</v>
      </c>
      <c r="J112" s="97">
        <v>-739.24633651323904</v>
      </c>
      <c r="K112" s="97">
        <v>-665.32170286191513</v>
      </c>
      <c r="L112" s="97">
        <v>-547.04228901979684</v>
      </c>
      <c r="M112" s="97">
        <v>-561.82721575006167</v>
      </c>
      <c r="N112" s="97">
        <v>-561.82721575006167</v>
      </c>
      <c r="O112" s="110">
        <v>-7067.1949770665651</v>
      </c>
    </row>
    <row r="113" spans="1:15" x14ac:dyDescent="0.25">
      <c r="A113" s="241"/>
      <c r="B113" s="108" t="s">
        <v>27</v>
      </c>
      <c r="C113" s="109">
        <v>-13508.08184260401</v>
      </c>
      <c r="D113" s="97">
        <v>-15285.46103242032</v>
      </c>
      <c r="E113" s="97">
        <v>-15996.412708346848</v>
      </c>
      <c r="F113" s="97">
        <v>-7820.468435191794</v>
      </c>
      <c r="G113" s="97">
        <v>-11019.750976861164</v>
      </c>
      <c r="H113" s="97">
        <v>-15640.936870383588</v>
      </c>
      <c r="I113" s="97">
        <v>-16707.364384273376</v>
      </c>
      <c r="J113" s="97">
        <v>-12449.79189816317</v>
      </c>
      <c r="K113" s="97">
        <v>-11204.81270834685</v>
      </c>
      <c r="L113" s="97">
        <v>-9212.8460046407436</v>
      </c>
      <c r="M113" s="97">
        <v>-9461.841842604008</v>
      </c>
      <c r="N113" s="97">
        <v>-9461.841842604008</v>
      </c>
      <c r="O113" s="110">
        <v>-147769.61054643989</v>
      </c>
    </row>
    <row r="114" spans="1:15" x14ac:dyDescent="0.25">
      <c r="A114" s="241"/>
      <c r="B114" s="108" t="s">
        <v>51</v>
      </c>
      <c r="C114" s="109">
        <v>34385.440000000002</v>
      </c>
      <c r="D114" s="97">
        <v>38909.839999999997</v>
      </c>
      <c r="E114" s="97">
        <v>40719.599999999999</v>
      </c>
      <c r="F114" s="97">
        <v>19907.36</v>
      </c>
      <c r="G114" s="97">
        <v>28051.279999999999</v>
      </c>
      <c r="H114" s="97">
        <v>39814.720000000001</v>
      </c>
      <c r="I114" s="97">
        <v>42529.36</v>
      </c>
      <c r="J114" s="97">
        <v>39920</v>
      </c>
      <c r="K114" s="97">
        <v>35928</v>
      </c>
      <c r="L114" s="97">
        <v>29540.799999999999</v>
      </c>
      <c r="M114" s="97">
        <v>30339.200000000001</v>
      </c>
      <c r="N114" s="97">
        <v>30339.200000000001</v>
      </c>
      <c r="O114" s="110">
        <v>410384.8</v>
      </c>
    </row>
    <row r="115" spans="1:15" x14ac:dyDescent="0.25">
      <c r="A115" s="241"/>
      <c r="B115" s="108" t="s">
        <v>91</v>
      </c>
      <c r="C115" s="109">
        <v>0</v>
      </c>
      <c r="D115" s="97">
        <v>0</v>
      </c>
      <c r="E115" s="97">
        <v>0</v>
      </c>
      <c r="F115" s="97">
        <v>0</v>
      </c>
      <c r="G115" s="97">
        <v>0</v>
      </c>
      <c r="H115" s="97">
        <v>0</v>
      </c>
      <c r="I115" s="97">
        <v>0</v>
      </c>
      <c r="J115" s="97">
        <v>0</v>
      </c>
      <c r="K115" s="97">
        <v>0</v>
      </c>
      <c r="L115" s="97">
        <v>0</v>
      </c>
      <c r="M115" s="97">
        <v>0</v>
      </c>
      <c r="N115" s="97">
        <v>0</v>
      </c>
      <c r="O115" s="110">
        <v>0</v>
      </c>
    </row>
    <row r="116" spans="1:15" x14ac:dyDescent="0.25">
      <c r="A116" s="241"/>
      <c r="B116" s="108" t="s">
        <v>93</v>
      </c>
      <c r="C116" s="109">
        <v>0</v>
      </c>
      <c r="D116" s="97">
        <v>0</v>
      </c>
      <c r="E116" s="97">
        <v>0</v>
      </c>
      <c r="F116" s="97">
        <v>0</v>
      </c>
      <c r="G116" s="97">
        <v>0</v>
      </c>
      <c r="H116" s="97">
        <v>0</v>
      </c>
      <c r="I116" s="97">
        <v>0</v>
      </c>
      <c r="J116" s="97">
        <v>0</v>
      </c>
      <c r="K116" s="97">
        <v>0</v>
      </c>
      <c r="L116" s="97">
        <v>0</v>
      </c>
      <c r="M116" s="97">
        <v>0</v>
      </c>
      <c r="N116" s="97">
        <v>0</v>
      </c>
      <c r="O116" s="110">
        <v>0</v>
      </c>
    </row>
    <row r="117" spans="1:15" x14ac:dyDescent="0.25">
      <c r="A117" s="98" t="s">
        <v>73</v>
      </c>
      <c r="B117" s="99"/>
      <c r="C117" s="105">
        <v>4491509.3356740978</v>
      </c>
      <c r="D117" s="106">
        <v>4571059.9971902454</v>
      </c>
      <c r="E117" s="106">
        <v>4688975.516742547</v>
      </c>
      <c r="F117" s="106">
        <v>3696002.7205126258</v>
      </c>
      <c r="G117" s="106">
        <v>4549620.8118170984</v>
      </c>
      <c r="H117" s="106">
        <v>5326509.1870492604</v>
      </c>
      <c r="I117" s="106">
        <v>5583215.222438246</v>
      </c>
      <c r="J117" s="106">
        <v>5877157.7376858545</v>
      </c>
      <c r="K117" s="106">
        <v>5466992.2701522438</v>
      </c>
      <c r="L117" s="106">
        <v>5131299.7623358769</v>
      </c>
      <c r="M117" s="106">
        <v>4474019.4739223206</v>
      </c>
      <c r="N117" s="106">
        <v>4378107.3288319306</v>
      </c>
      <c r="O117" s="107">
        <v>58234469.364352338</v>
      </c>
    </row>
    <row r="118" spans="1:15" ht="13" x14ac:dyDescent="0.3">
      <c r="A118" s="98" t="s">
        <v>28</v>
      </c>
      <c r="B118" s="99"/>
      <c r="C118" s="247">
        <v>-2712240.3443259015</v>
      </c>
      <c r="D118" s="248">
        <v>-2760277.7628097553</v>
      </c>
      <c r="E118" s="248">
        <v>-2831482.1632574522</v>
      </c>
      <c r="F118" s="248">
        <v>-2231866.1594873737</v>
      </c>
      <c r="G118" s="248">
        <v>-2747331.5081829014</v>
      </c>
      <c r="H118" s="248">
        <v>-3216462.8929507397</v>
      </c>
      <c r="I118" s="248">
        <v>-3371477.2575617535</v>
      </c>
      <c r="J118" s="248">
        <v>-2439775.0623141462</v>
      </c>
      <c r="K118" s="248">
        <v>-2269503.7298477562</v>
      </c>
      <c r="L118" s="248">
        <v>-2130148.2376641221</v>
      </c>
      <c r="M118" s="248">
        <v>-1857292.5260776782</v>
      </c>
      <c r="N118" s="248">
        <v>-1817476.6711680687</v>
      </c>
      <c r="O118" s="249">
        <v>-30385334.315647647</v>
      </c>
    </row>
    <row r="119" spans="1:15" ht="13" x14ac:dyDescent="0.3">
      <c r="A119" s="98" t="s">
        <v>29</v>
      </c>
      <c r="B119" s="99"/>
      <c r="C119" s="247">
        <v>-117702.80169963794</v>
      </c>
      <c r="D119" s="248">
        <v>-119787.47636860526</v>
      </c>
      <c r="E119" s="248">
        <v>-122877.5260552306</v>
      </c>
      <c r="F119" s="248">
        <v>-96856.055009964592</v>
      </c>
      <c r="G119" s="248">
        <v>-119225.64915285521</v>
      </c>
      <c r="H119" s="248">
        <v>-139584.49326042976</v>
      </c>
      <c r="I119" s="248">
        <v>-146311.63492270026</v>
      </c>
      <c r="J119" s="248">
        <v>-154014.58174916822</v>
      </c>
      <c r="K119" s="248">
        <v>-143265.9400162657</v>
      </c>
      <c r="L119" s="248">
        <v>-134468.90861175818</v>
      </c>
      <c r="M119" s="248">
        <v>-117244.4689709997</v>
      </c>
      <c r="N119" s="248">
        <v>-114731.03142685469</v>
      </c>
      <c r="O119" s="249">
        <v>-1526070.5672444701</v>
      </c>
    </row>
    <row r="120" spans="1:15" ht="13" x14ac:dyDescent="0.3">
      <c r="A120" s="98" t="s">
        <v>30</v>
      </c>
      <c r="B120" s="99"/>
      <c r="C120" s="247">
        <v>-2829943.1460255398</v>
      </c>
      <c r="D120" s="248">
        <v>-2880065.23917836</v>
      </c>
      <c r="E120" s="248">
        <v>-2954359.689312682</v>
      </c>
      <c r="F120" s="248">
        <v>-2328722.2144973385</v>
      </c>
      <c r="G120" s="248">
        <v>-2866557.1573357554</v>
      </c>
      <c r="H120" s="248">
        <v>-3356047.3862111694</v>
      </c>
      <c r="I120" s="248">
        <v>-3517788.892484454</v>
      </c>
      <c r="J120" s="248">
        <v>-2593789.6440633149</v>
      </c>
      <c r="K120" s="248">
        <v>-2412769.6698640222</v>
      </c>
      <c r="L120" s="248">
        <v>-2264617.1462758803</v>
      </c>
      <c r="M120" s="248">
        <v>-1974536.9950486782</v>
      </c>
      <c r="N120" s="248">
        <v>-1932207.7025949236</v>
      </c>
      <c r="O120" s="249">
        <v>-31911404.882892117</v>
      </c>
    </row>
    <row r="121" spans="1:15" x14ac:dyDescent="0.25">
      <c r="A121" s="98" t="s">
        <v>63</v>
      </c>
      <c r="B121" s="99"/>
      <c r="C121" s="105">
        <v>7203749.6800000006</v>
      </c>
      <c r="D121" s="106">
        <v>7331337.7600000007</v>
      </c>
      <c r="E121" s="106">
        <v>7520457.6799999997</v>
      </c>
      <c r="F121" s="106">
        <v>5927868.8800000018</v>
      </c>
      <c r="G121" s="106">
        <v>7296952.3200000012</v>
      </c>
      <c r="H121" s="106">
        <v>8542972.0800000019</v>
      </c>
      <c r="I121" s="106">
        <v>8954692.4800000004</v>
      </c>
      <c r="J121" s="106">
        <v>8316932.8000000017</v>
      </c>
      <c r="K121" s="106">
        <v>7736495.9999999981</v>
      </c>
      <c r="L121" s="106">
        <v>7261447.9999999981</v>
      </c>
      <c r="M121" s="106">
        <v>6331312</v>
      </c>
      <c r="N121" s="106">
        <v>6195584.0000000019</v>
      </c>
      <c r="O121" s="107">
        <v>88619803.680000007</v>
      </c>
    </row>
    <row r="122" spans="1:15" x14ac:dyDescent="0.25">
      <c r="A122" s="98" t="s">
        <v>92</v>
      </c>
      <c r="B122" s="99"/>
      <c r="C122" s="105"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7">
        <v>0</v>
      </c>
    </row>
    <row r="123" spans="1:15" x14ac:dyDescent="0.25">
      <c r="A123" s="111" t="s">
        <v>94</v>
      </c>
      <c r="B123" s="242"/>
      <c r="C123" s="112">
        <v>0</v>
      </c>
      <c r="D123" s="113">
        <v>0</v>
      </c>
      <c r="E123" s="113">
        <v>0</v>
      </c>
      <c r="F123" s="113">
        <v>0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4">
        <v>0</v>
      </c>
    </row>
    <row r="125" spans="1:15" x14ac:dyDescent="0.25">
      <c r="L125" s="250"/>
      <c r="O125" s="250"/>
    </row>
    <row r="126" spans="1:15" x14ac:dyDescent="0.25">
      <c r="L126" s="97"/>
      <c r="O126" s="97"/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Normal="100" zoomScaleSheetLayoutView="100" workbookViewId="0">
      <selection activeCell="J4" sqref="J4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3" customWidth="1"/>
    <col min="5" max="5" width="24.26953125" style="1" customWidth="1"/>
    <col min="6" max="6" width="7.7265625" style="163" customWidth="1"/>
    <col min="7" max="7" width="6.7265625" style="163" customWidth="1"/>
    <col min="8" max="8" width="11.1796875" style="163" bestFit="1" customWidth="1"/>
    <col min="9" max="9" width="11.26953125" style="164" customWidth="1"/>
    <col min="10" max="10" width="13.7265625" style="163" customWidth="1"/>
    <col min="11" max="11" width="13.54296875" style="165" customWidth="1"/>
    <col min="12" max="12" width="14.7265625" style="163" customWidth="1"/>
    <col min="13" max="13" width="13.453125" style="126" bestFit="1" customWidth="1"/>
    <col min="14" max="17" width="13.453125" style="126" customWidth="1"/>
    <col min="18" max="18" width="15.54296875" style="239" customWidth="1"/>
    <col min="19" max="16384" width="8.7265625" style="1"/>
  </cols>
  <sheetData>
    <row r="1" spans="2:18" ht="21.5" x14ac:dyDescent="0.3">
      <c r="B1" s="10" t="s">
        <v>101</v>
      </c>
      <c r="C1" s="115"/>
      <c r="D1" s="116"/>
      <c r="E1" s="115"/>
      <c r="F1" s="117" t="s">
        <v>12</v>
      </c>
      <c r="G1" s="118"/>
      <c r="H1" s="119"/>
      <c r="I1" s="120"/>
      <c r="J1" s="121" t="str">
        <f>"True-Up ARR
(CY"&amp;R1&amp;")"</f>
        <v>True-Up ARR
(CY2019)</v>
      </c>
      <c r="K1" s="121" t="str">
        <f>"Projected ARR
(Jan'"&amp;RIGHT(R$1,2)&amp;" - Dec'"&amp;RIGHT(R$1,2)&amp;")"</f>
        <v>Projected ARR
(Jan'19 - Dec'19)</v>
      </c>
      <c r="L1" s="122" t="s">
        <v>47</v>
      </c>
      <c r="M1" s="123"/>
      <c r="N1" s="52"/>
      <c r="O1" s="52"/>
      <c r="P1" s="52"/>
      <c r="Q1" s="52"/>
      <c r="R1" s="124">
        <v>2019</v>
      </c>
    </row>
    <row r="2" spans="2:18" ht="13" x14ac:dyDescent="0.3">
      <c r="B2" s="10" t="s">
        <v>54</v>
      </c>
      <c r="C2" s="115"/>
      <c r="D2" s="116"/>
      <c r="E2" s="115"/>
      <c r="F2" s="125">
        <v>9</v>
      </c>
      <c r="G2" s="258"/>
      <c r="H2" s="258"/>
      <c r="I2" s="127" t="s">
        <v>6</v>
      </c>
      <c r="J2" s="128">
        <v>58234469.364352345</v>
      </c>
      <c r="K2" s="128">
        <v>80421071.564677551</v>
      </c>
      <c r="L2" s="129"/>
      <c r="M2" s="130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CY2019 SPP Network Transmission Service</v>
      </c>
      <c r="C3" s="115"/>
      <c r="D3" s="116"/>
      <c r="E3" s="115"/>
      <c r="F3" s="125"/>
      <c r="G3" s="258"/>
      <c r="H3" s="258"/>
      <c r="I3" s="127" t="s">
        <v>10</v>
      </c>
      <c r="J3" s="131">
        <v>564.18908876700141</v>
      </c>
      <c r="K3" s="131">
        <v>798.4</v>
      </c>
      <c r="L3" s="132" t="str">
        <f>"Inv. Aug-Dec'"&amp;RIGHT(R1,2)</f>
        <v>Inv. Aug-Dec'19</v>
      </c>
      <c r="M3" s="130"/>
      <c r="N3" s="52"/>
      <c r="O3" s="52"/>
      <c r="P3" s="52"/>
      <c r="Q3" s="52"/>
      <c r="R3" s="1"/>
    </row>
    <row r="4" spans="2:18" ht="13" x14ac:dyDescent="0.3">
      <c r="B4" s="9"/>
      <c r="C4" s="115"/>
      <c r="D4" s="116"/>
      <c r="E4" s="115"/>
      <c r="F4" s="125"/>
      <c r="G4" s="126"/>
      <c r="H4" s="126"/>
      <c r="I4" s="51"/>
      <c r="J4" s="126"/>
      <c r="K4" s="133"/>
      <c r="L4" s="126"/>
      <c r="M4" s="134"/>
      <c r="R4" s="1"/>
    </row>
    <row r="5" spans="2:18" ht="13" x14ac:dyDescent="0.3">
      <c r="B5" s="9"/>
      <c r="C5" s="115"/>
      <c r="D5" s="116"/>
      <c r="E5" s="115"/>
      <c r="F5" s="125"/>
      <c r="G5" s="126"/>
      <c r="H5" s="126"/>
      <c r="I5" s="127"/>
      <c r="J5" s="126"/>
      <c r="K5" s="128">
        <v>91146592.182500809</v>
      </c>
      <c r="L5" s="129"/>
      <c r="M5" s="135"/>
      <c r="N5" s="136"/>
      <c r="O5" s="136"/>
      <c r="P5" s="136"/>
      <c r="Q5" s="136"/>
      <c r="R5" s="137"/>
    </row>
    <row r="6" spans="2:18" ht="13" x14ac:dyDescent="0.3">
      <c r="B6" s="10" t="s">
        <v>23</v>
      </c>
      <c r="D6" s="116"/>
      <c r="E6" s="115"/>
      <c r="F6" s="138"/>
      <c r="G6" s="139"/>
      <c r="H6" s="140"/>
      <c r="I6" s="141"/>
      <c r="J6" s="142"/>
      <c r="K6" s="131">
        <v>904.88</v>
      </c>
      <c r="L6" s="243" t="str">
        <f>"Inv. Jan-Jul'"&amp;RIGHT(R4,2)</f>
        <v>Inv. Jan-Jul'</v>
      </c>
      <c r="M6" s="135"/>
      <c r="N6" s="136"/>
      <c r="O6" s="136"/>
      <c r="P6" s="136"/>
      <c r="Q6" s="136"/>
      <c r="R6" s="1"/>
    </row>
    <row r="7" spans="2:18" ht="13" x14ac:dyDescent="0.3">
      <c r="B7" s="9" t="s">
        <v>79</v>
      </c>
      <c r="D7" s="116"/>
      <c r="E7" s="115"/>
      <c r="F7" s="125"/>
      <c r="G7" s="259"/>
      <c r="H7" s="258"/>
      <c r="I7" s="127"/>
      <c r="J7" s="143"/>
      <c r="K7" s="129"/>
      <c r="L7" s="129"/>
      <c r="M7" s="144"/>
      <c r="N7" s="145"/>
      <c r="O7" s="145"/>
      <c r="P7" s="145"/>
      <c r="Q7" s="145"/>
      <c r="R7" s="1"/>
    </row>
    <row r="8" spans="2:18" ht="13" x14ac:dyDescent="0.3">
      <c r="B8" s="10"/>
      <c r="C8" s="115"/>
      <c r="D8" s="116"/>
      <c r="E8" s="115"/>
      <c r="F8" s="125"/>
      <c r="G8" s="258"/>
      <c r="H8" s="258"/>
      <c r="I8" s="127"/>
      <c r="J8" s="146"/>
      <c r="K8" s="129"/>
      <c r="L8" s="147"/>
      <c r="M8" s="130"/>
      <c r="N8" s="52"/>
      <c r="O8" s="52"/>
      <c r="P8" s="52"/>
      <c r="Q8" s="52"/>
      <c r="R8" s="137"/>
    </row>
    <row r="9" spans="2:18" ht="13" x14ac:dyDescent="0.3">
      <c r="B9" s="148"/>
      <c r="C9" s="115"/>
      <c r="D9" s="116"/>
      <c r="E9" s="115"/>
      <c r="F9" s="125"/>
      <c r="G9" s="126"/>
      <c r="H9" s="126"/>
      <c r="I9" s="149"/>
      <c r="J9" s="150"/>
      <c r="K9" s="151"/>
      <c r="L9" s="152"/>
      <c r="M9" s="130"/>
      <c r="N9" s="52"/>
      <c r="O9" s="52"/>
      <c r="P9" s="52"/>
      <c r="Q9" s="52"/>
      <c r="R9" s="137"/>
    </row>
    <row r="10" spans="2:18" ht="13.5" thickBot="1" x14ac:dyDescent="0.35">
      <c r="B10" s="9"/>
      <c r="D10" s="1"/>
      <c r="E10" s="153"/>
      <c r="F10" s="154"/>
      <c r="G10" s="155"/>
      <c r="H10" s="156"/>
      <c r="I10" s="157"/>
      <c r="J10" s="158"/>
      <c r="K10" s="158"/>
      <c r="L10" s="159"/>
      <c r="M10" s="160"/>
      <c r="R10" s="161"/>
    </row>
    <row r="11" spans="2:18" ht="13" x14ac:dyDescent="0.3">
      <c r="B11" s="162" t="s">
        <v>84</v>
      </c>
      <c r="E11" s="153"/>
      <c r="L11" s="166"/>
      <c r="M11" s="1"/>
      <c r="N11" s="1"/>
      <c r="O11" s="1"/>
      <c r="P11" s="1"/>
      <c r="Q11" s="1"/>
      <c r="R11" s="137"/>
    </row>
    <row r="12" spans="2:18" x14ac:dyDescent="0.25">
      <c r="E12" s="153"/>
      <c r="L12" s="166"/>
      <c r="R12" s="167" t="s">
        <v>62</v>
      </c>
    </row>
    <row r="13" spans="2:18" ht="13" x14ac:dyDescent="0.3">
      <c r="E13" s="153"/>
      <c r="F13" s="168"/>
      <c r="G13" s="169"/>
      <c r="H13" s="169"/>
      <c r="I13" s="170" t="s">
        <v>60</v>
      </c>
      <c r="J13" s="171">
        <f t="shared" ref="J13:R13" si="0">SUM(J56:J211)</f>
        <v>14865818.299921731</v>
      </c>
      <c r="K13" s="171">
        <f t="shared" si="0"/>
        <v>22622954.72000001</v>
      </c>
      <c r="L13" s="172">
        <f t="shared" si="0"/>
        <v>-7757136.4200782785</v>
      </c>
      <c r="M13" s="173">
        <f t="shared" si="0"/>
        <v>-389568.03441574698</v>
      </c>
      <c r="N13" s="171">
        <f t="shared" si="0"/>
        <v>-8146704.4544940228</v>
      </c>
      <c r="O13" s="171">
        <f>SUM(O56:O211)</f>
        <v>0</v>
      </c>
      <c r="P13" s="171">
        <f t="shared" si="0"/>
        <v>0</v>
      </c>
      <c r="Q13" s="171">
        <v>0</v>
      </c>
      <c r="R13" s="172">
        <f t="shared" si="0"/>
        <v>-8146704.4544940228</v>
      </c>
    </row>
    <row r="14" spans="2:18" ht="13" x14ac:dyDescent="0.3">
      <c r="E14" s="153"/>
      <c r="F14" s="174"/>
      <c r="G14" s="174"/>
      <c r="H14" s="174"/>
      <c r="I14" s="175" t="s">
        <v>61</v>
      </c>
      <c r="J14" s="171">
        <f>SUM(J20:J211)</f>
        <v>58234469.364352331</v>
      </c>
      <c r="K14" s="171">
        <f>SUM(K20:K211)</f>
        <v>88619803.679999992</v>
      </c>
      <c r="L14" s="172">
        <f>SUM(L20:L211)</f>
        <v>-30385334.315647632</v>
      </c>
      <c r="M14" s="240">
        <v>-1526070.5672444701</v>
      </c>
      <c r="N14" s="171">
        <f>SUM(N20:N211)</f>
        <v>-31911404.882892124</v>
      </c>
      <c r="O14" s="171">
        <f>SUM(O20:O211)</f>
        <v>0</v>
      </c>
      <c r="P14" s="171">
        <f>SUM(P20:P211)</f>
        <v>0</v>
      </c>
      <c r="Q14" s="171">
        <v>0</v>
      </c>
      <c r="R14" s="172">
        <f>SUM(R20:R211)</f>
        <v>-31911404.882892124</v>
      </c>
    </row>
    <row r="15" spans="2:18" x14ac:dyDescent="0.25">
      <c r="B15" s="176" t="s">
        <v>86</v>
      </c>
      <c r="E15" s="153"/>
      <c r="J15" s="164"/>
      <c r="L15" s="166"/>
      <c r="M15" s="177"/>
      <c r="N15" s="177"/>
      <c r="O15" s="177"/>
      <c r="P15" s="177"/>
      <c r="Q15" s="177"/>
      <c r="R15" s="178" t="s">
        <v>20</v>
      </c>
    </row>
    <row r="16" spans="2:18" x14ac:dyDescent="0.25">
      <c r="B16" s="179" t="str">
        <f>"** Actual Trued-Up CY"&amp;R1&amp;" Charge reflects "&amp;R1&amp;" True-UP Rate x MW"</f>
        <v>** Actual Trued-Up CY2019 Charge reflects 2019 True-UP Rate x MW</v>
      </c>
      <c r="E16" s="153"/>
      <c r="F16" s="126"/>
      <c r="G16" s="5"/>
      <c r="J16" s="180"/>
      <c r="L16" s="181" t="s">
        <v>11</v>
      </c>
      <c r="M16" s="177"/>
      <c r="N16" s="177"/>
      <c r="O16" s="177"/>
      <c r="P16" s="177"/>
      <c r="Q16" s="177"/>
      <c r="R16" s="182"/>
    </row>
    <row r="17" spans="1:18" x14ac:dyDescent="0.25">
      <c r="B17" s="183" t="s">
        <v>64</v>
      </c>
      <c r="E17" s="153"/>
      <c r="I17" s="184"/>
      <c r="J17" s="185"/>
      <c r="K17" s="186"/>
      <c r="L17" s="186"/>
      <c r="M17" s="186"/>
      <c r="N17" s="186"/>
      <c r="O17" s="186"/>
      <c r="P17" s="186"/>
      <c r="Q17" s="186"/>
      <c r="R17" s="187"/>
    </row>
    <row r="18" spans="1:18" ht="3.65" customHeight="1" x14ac:dyDescent="0.25">
      <c r="I18" s="188"/>
      <c r="J18" s="185"/>
      <c r="K18" s="188"/>
      <c r="L18" s="188"/>
      <c r="M18" s="189"/>
      <c r="N18" s="189"/>
      <c r="O18" s="189"/>
      <c r="P18" s="189"/>
      <c r="Q18" s="189"/>
      <c r="R18" s="190"/>
    </row>
    <row r="19" spans="1:18" ht="38.25" customHeight="1" x14ac:dyDescent="0.25">
      <c r="B19" s="191" t="s">
        <v>55</v>
      </c>
      <c r="C19" s="192" t="s">
        <v>4</v>
      </c>
      <c r="D19" s="192" t="s">
        <v>5</v>
      </c>
      <c r="E19" s="193" t="s">
        <v>0</v>
      </c>
      <c r="F19" s="194" t="s">
        <v>12</v>
      </c>
      <c r="G19" s="195" t="s">
        <v>1</v>
      </c>
      <c r="H19" s="196" t="s">
        <v>50</v>
      </c>
      <c r="I19" s="196" t="s">
        <v>48</v>
      </c>
      <c r="J19" s="197" t="str">
        <f>"True-Up Charge"</f>
        <v>True-Up Charge</v>
      </c>
      <c r="K19" s="197" t="s">
        <v>49</v>
      </c>
      <c r="L19" s="198" t="s">
        <v>3</v>
      </c>
      <c r="M19" s="199" t="s">
        <v>7</v>
      </c>
      <c r="N19" s="200" t="s">
        <v>102</v>
      </c>
      <c r="O19" s="200" t="s">
        <v>88</v>
      </c>
      <c r="P19" s="200" t="s">
        <v>89</v>
      </c>
      <c r="Q19" s="200" t="s">
        <v>90</v>
      </c>
      <c r="R19" s="201" t="s">
        <v>2</v>
      </c>
    </row>
    <row r="20" spans="1:18" s="52" customFormat="1" ht="12.75" customHeight="1" x14ac:dyDescent="0.25">
      <c r="A20" s="126">
        <v>1</v>
      </c>
      <c r="B20" s="202">
        <f>DATE($R$1,A20,1)</f>
        <v>43466</v>
      </c>
      <c r="C20" s="203">
        <v>43501</v>
      </c>
      <c r="D20" s="203">
        <v>43516</v>
      </c>
      <c r="E20" s="204" t="s">
        <v>21</v>
      </c>
      <c r="F20" s="126">
        <v>9</v>
      </c>
      <c r="G20" s="205">
        <v>2561</v>
      </c>
      <c r="H20" s="206">
        <f t="shared" ref="H20:H26" si="1">+$K$6</f>
        <v>904.88</v>
      </c>
      <c r="I20" s="206">
        <f t="shared" ref="I20:I63" si="2">$J$3</f>
        <v>564.18908876700141</v>
      </c>
      <c r="J20" s="207">
        <f t="shared" ref="J20:J108" si="3">+$G20*I20</f>
        <v>1444888.2563322906</v>
      </c>
      <c r="K20" s="208">
        <f>+$G20*H20</f>
        <v>2317397.6800000002</v>
      </c>
      <c r="L20" s="209">
        <f t="shared" ref="L20:L34" si="4">+J20-K20</f>
        <v>-872509.42366770958</v>
      </c>
      <c r="M20" s="210">
        <f>G20/$G$212*$M$14</f>
        <v>-37864.197356208104</v>
      </c>
      <c r="N20" s="211">
        <f>SUM(L20:M20)</f>
        <v>-910373.62102391769</v>
      </c>
      <c r="O20" s="210">
        <f>+$P$3</f>
        <v>0</v>
      </c>
      <c r="P20" s="210">
        <f>+G20*O20</f>
        <v>0</v>
      </c>
      <c r="Q20" s="210">
        <v>0</v>
      </c>
      <c r="R20" s="211">
        <f>+N20-Q20</f>
        <v>-910373.62102391769</v>
      </c>
    </row>
    <row r="21" spans="1:18" x14ac:dyDescent="0.25">
      <c r="A21" s="163">
        <v>2</v>
      </c>
      <c r="B21" s="202">
        <f t="shared" ref="B21:B108" si="5">DATE($R$1,A21,1)</f>
        <v>43497</v>
      </c>
      <c r="C21" s="203">
        <v>43529</v>
      </c>
      <c r="D21" s="203">
        <v>43544</v>
      </c>
      <c r="E21" s="212" t="s">
        <v>21</v>
      </c>
      <c r="F21" s="163">
        <v>9</v>
      </c>
      <c r="G21" s="205">
        <v>2792</v>
      </c>
      <c r="H21" s="206">
        <f t="shared" si="1"/>
        <v>904.88</v>
      </c>
      <c r="I21" s="206">
        <f t="shared" si="2"/>
        <v>564.18908876700141</v>
      </c>
      <c r="J21" s="207">
        <f t="shared" si="3"/>
        <v>1575215.9358374679</v>
      </c>
      <c r="K21" s="208">
        <f t="shared" ref="K21:K33" si="6">+$G21*H21</f>
        <v>2526424.96</v>
      </c>
      <c r="L21" s="209">
        <f t="shared" si="4"/>
        <v>-951209.02416253206</v>
      </c>
      <c r="M21" s="210">
        <f t="shared" ref="M21:M84" si="7">G21/$G$212*$M$14</f>
        <v>-41279.515430899264</v>
      </c>
      <c r="N21" s="211">
        <f t="shared" ref="N21:N84" si="8">SUM(L21:M21)</f>
        <v>-992488.53959343128</v>
      </c>
      <c r="O21" s="210">
        <f t="shared" ref="O21:O84" si="9">+$P$3</f>
        <v>0</v>
      </c>
      <c r="P21" s="210">
        <f t="shared" ref="P21:P84" si="10">+G21*O21</f>
        <v>0</v>
      </c>
      <c r="Q21" s="210">
        <v>0</v>
      </c>
      <c r="R21" s="211">
        <f t="shared" ref="R21:R84" si="11">+N21-Q21</f>
        <v>-992488.53959343128</v>
      </c>
    </row>
    <row r="22" spans="1:18" x14ac:dyDescent="0.25">
      <c r="A22" s="163">
        <v>3</v>
      </c>
      <c r="B22" s="202">
        <f t="shared" si="5"/>
        <v>43525</v>
      </c>
      <c r="C22" s="203">
        <v>43558</v>
      </c>
      <c r="D22" s="203">
        <v>43573</v>
      </c>
      <c r="E22" s="212" t="s">
        <v>21</v>
      </c>
      <c r="F22" s="163">
        <v>9</v>
      </c>
      <c r="G22" s="205">
        <v>2805</v>
      </c>
      <c r="H22" s="206">
        <f t="shared" si="1"/>
        <v>904.88</v>
      </c>
      <c r="I22" s="206">
        <f t="shared" si="2"/>
        <v>564.18908876700141</v>
      </c>
      <c r="J22" s="207">
        <f t="shared" si="3"/>
        <v>1582550.3939914389</v>
      </c>
      <c r="K22" s="208">
        <f t="shared" si="6"/>
        <v>2538188.4</v>
      </c>
      <c r="L22" s="209">
        <f t="shared" si="4"/>
        <v>-955638.006008561</v>
      </c>
      <c r="M22" s="210">
        <f t="shared" si="7"/>
        <v>-41471.719478392704</v>
      </c>
      <c r="N22" s="211">
        <f t="shared" si="8"/>
        <v>-997109.72548695374</v>
      </c>
      <c r="O22" s="210">
        <f t="shared" si="9"/>
        <v>0</v>
      </c>
      <c r="P22" s="210">
        <f t="shared" si="10"/>
        <v>0</v>
      </c>
      <c r="Q22" s="210">
        <v>0</v>
      </c>
      <c r="R22" s="211">
        <f t="shared" si="11"/>
        <v>-997109.72548695374</v>
      </c>
    </row>
    <row r="23" spans="1:18" x14ac:dyDescent="0.25">
      <c r="A23" s="126">
        <v>4</v>
      </c>
      <c r="B23" s="202">
        <f t="shared" si="5"/>
        <v>43556</v>
      </c>
      <c r="C23" s="203">
        <v>43588</v>
      </c>
      <c r="D23" s="203">
        <v>43605</v>
      </c>
      <c r="E23" s="212" t="s">
        <v>21</v>
      </c>
      <c r="F23" s="163">
        <v>9</v>
      </c>
      <c r="G23" s="205">
        <v>2574</v>
      </c>
      <c r="H23" s="206">
        <f t="shared" si="1"/>
        <v>904.88</v>
      </c>
      <c r="I23" s="206">
        <f t="shared" si="2"/>
        <v>564.18908876700141</v>
      </c>
      <c r="J23" s="207">
        <f t="shared" si="3"/>
        <v>1452222.7144862616</v>
      </c>
      <c r="K23" s="208">
        <f t="shared" si="6"/>
        <v>2329161.12</v>
      </c>
      <c r="L23" s="209">
        <f t="shared" si="4"/>
        <v>-876938.40551373851</v>
      </c>
      <c r="M23" s="210">
        <f t="shared" si="7"/>
        <v>-38056.401403701551</v>
      </c>
      <c r="N23" s="211">
        <f t="shared" si="8"/>
        <v>-914994.80691744003</v>
      </c>
      <c r="O23" s="210">
        <f t="shared" si="9"/>
        <v>0</v>
      </c>
      <c r="P23" s="210">
        <f t="shared" si="10"/>
        <v>0</v>
      </c>
      <c r="Q23" s="210">
        <v>0</v>
      </c>
      <c r="R23" s="211">
        <f t="shared" si="11"/>
        <v>-914994.80691744003</v>
      </c>
    </row>
    <row r="24" spans="1:18" ht="12" customHeight="1" x14ac:dyDescent="0.25">
      <c r="A24" s="163">
        <v>5</v>
      </c>
      <c r="B24" s="202">
        <f t="shared" si="5"/>
        <v>43586</v>
      </c>
      <c r="C24" s="203">
        <v>43621</v>
      </c>
      <c r="D24" s="203">
        <v>43636</v>
      </c>
      <c r="E24" s="54" t="s">
        <v>21</v>
      </c>
      <c r="F24" s="163">
        <v>9</v>
      </c>
      <c r="G24" s="205">
        <v>2970</v>
      </c>
      <c r="H24" s="206">
        <f t="shared" si="1"/>
        <v>904.88</v>
      </c>
      <c r="I24" s="206">
        <f t="shared" si="2"/>
        <v>564.18908876700141</v>
      </c>
      <c r="J24" s="207">
        <f t="shared" si="3"/>
        <v>1675641.5936379943</v>
      </c>
      <c r="K24" s="208">
        <f t="shared" si="6"/>
        <v>2687493.6</v>
      </c>
      <c r="L24" s="209">
        <f t="shared" si="4"/>
        <v>-1011852.0063620058</v>
      </c>
      <c r="M24" s="210">
        <f t="shared" si="7"/>
        <v>-43911.232388886398</v>
      </c>
      <c r="N24" s="211">
        <f t="shared" si="8"/>
        <v>-1055763.2387508922</v>
      </c>
      <c r="O24" s="210">
        <f t="shared" si="9"/>
        <v>0</v>
      </c>
      <c r="P24" s="210">
        <f t="shared" si="10"/>
        <v>0</v>
      </c>
      <c r="Q24" s="210">
        <v>0</v>
      </c>
      <c r="R24" s="211">
        <f t="shared" si="11"/>
        <v>-1055763.2387508922</v>
      </c>
    </row>
    <row r="25" spans="1:18" x14ac:dyDescent="0.25">
      <c r="A25" s="163">
        <v>6</v>
      </c>
      <c r="B25" s="202">
        <f t="shared" si="5"/>
        <v>43617</v>
      </c>
      <c r="C25" s="203">
        <v>43649</v>
      </c>
      <c r="D25" s="203">
        <v>43664</v>
      </c>
      <c r="E25" s="54" t="s">
        <v>21</v>
      </c>
      <c r="F25" s="163">
        <v>9</v>
      </c>
      <c r="G25" s="205">
        <v>3724</v>
      </c>
      <c r="H25" s="206">
        <f t="shared" si="1"/>
        <v>904.88</v>
      </c>
      <c r="I25" s="206">
        <f t="shared" si="2"/>
        <v>564.18908876700141</v>
      </c>
      <c r="J25" s="207">
        <f t="shared" si="3"/>
        <v>2101040.1665683133</v>
      </c>
      <c r="K25" s="208">
        <f t="shared" si="6"/>
        <v>3369773.12</v>
      </c>
      <c r="L25" s="213">
        <f t="shared" si="4"/>
        <v>-1268732.9534316869</v>
      </c>
      <c r="M25" s="210">
        <f t="shared" si="7"/>
        <v>-55059.067143506036</v>
      </c>
      <c r="N25" s="211">
        <f t="shared" si="8"/>
        <v>-1323792.020575193</v>
      </c>
      <c r="O25" s="210">
        <f t="shared" si="9"/>
        <v>0</v>
      </c>
      <c r="P25" s="210">
        <f t="shared" si="10"/>
        <v>0</v>
      </c>
      <c r="Q25" s="210">
        <v>0</v>
      </c>
      <c r="R25" s="211">
        <f t="shared" si="11"/>
        <v>-1323792.020575193</v>
      </c>
    </row>
    <row r="26" spans="1:18" x14ac:dyDescent="0.25">
      <c r="A26" s="126">
        <v>7</v>
      </c>
      <c r="B26" s="202">
        <f t="shared" si="5"/>
        <v>43647</v>
      </c>
      <c r="C26" s="203">
        <v>43682</v>
      </c>
      <c r="D26" s="203">
        <v>43697</v>
      </c>
      <c r="E26" s="54" t="s">
        <v>21</v>
      </c>
      <c r="F26" s="163">
        <v>9</v>
      </c>
      <c r="G26" s="205">
        <v>3923</v>
      </c>
      <c r="H26" s="206">
        <f t="shared" si="1"/>
        <v>904.88</v>
      </c>
      <c r="I26" s="206">
        <f t="shared" si="2"/>
        <v>564.18908876700141</v>
      </c>
      <c r="J26" s="207">
        <f t="shared" si="3"/>
        <v>2213313.7952329465</v>
      </c>
      <c r="K26" s="214">
        <f t="shared" si="6"/>
        <v>3549844.2399999998</v>
      </c>
      <c r="L26" s="213">
        <f t="shared" si="4"/>
        <v>-1336530.4447670532</v>
      </c>
      <c r="M26" s="210">
        <f t="shared" si="7"/>
        <v>-58001.26756282874</v>
      </c>
      <c r="N26" s="211">
        <f t="shared" si="8"/>
        <v>-1394531.712329882</v>
      </c>
      <c r="O26" s="210">
        <f t="shared" si="9"/>
        <v>0</v>
      </c>
      <c r="P26" s="210">
        <f t="shared" si="10"/>
        <v>0</v>
      </c>
      <c r="Q26" s="210">
        <v>0</v>
      </c>
      <c r="R26" s="211">
        <f t="shared" si="11"/>
        <v>-1394531.712329882</v>
      </c>
    </row>
    <row r="27" spans="1:18" x14ac:dyDescent="0.25">
      <c r="A27" s="163">
        <v>8</v>
      </c>
      <c r="B27" s="202">
        <f t="shared" si="5"/>
        <v>43678</v>
      </c>
      <c r="C27" s="203">
        <v>43712</v>
      </c>
      <c r="D27" s="203">
        <v>43727</v>
      </c>
      <c r="E27" s="54" t="s">
        <v>21</v>
      </c>
      <c r="F27" s="163">
        <v>9</v>
      </c>
      <c r="G27" s="205">
        <v>4089</v>
      </c>
      <c r="H27" s="206">
        <f t="shared" ref="H27:H79" si="12">$K$3</f>
        <v>798.4</v>
      </c>
      <c r="I27" s="206">
        <f t="shared" si="2"/>
        <v>564.18908876700141</v>
      </c>
      <c r="J27" s="207">
        <f t="shared" si="3"/>
        <v>2306969.1839682688</v>
      </c>
      <c r="K27" s="214">
        <f t="shared" si="6"/>
        <v>3264657.6</v>
      </c>
      <c r="L27" s="213">
        <f t="shared" si="4"/>
        <v>-957688.41603173129</v>
      </c>
      <c r="M27" s="210">
        <f t="shared" si="7"/>
        <v>-60455.565400052685</v>
      </c>
      <c r="N27" s="211">
        <f t="shared" si="8"/>
        <v>-1018143.981431784</v>
      </c>
      <c r="O27" s="210">
        <f t="shared" si="9"/>
        <v>0</v>
      </c>
      <c r="P27" s="210">
        <f t="shared" si="10"/>
        <v>0</v>
      </c>
      <c r="Q27" s="210">
        <v>0</v>
      </c>
      <c r="R27" s="211">
        <f t="shared" si="11"/>
        <v>-1018143.981431784</v>
      </c>
    </row>
    <row r="28" spans="1:18" x14ac:dyDescent="0.25">
      <c r="A28" s="163">
        <v>9</v>
      </c>
      <c r="B28" s="202">
        <f t="shared" si="5"/>
        <v>43709</v>
      </c>
      <c r="C28" s="203">
        <v>43741</v>
      </c>
      <c r="D28" s="203">
        <v>43756</v>
      </c>
      <c r="E28" s="54" t="s">
        <v>21</v>
      </c>
      <c r="F28" s="163">
        <v>9</v>
      </c>
      <c r="G28" s="205">
        <v>3731</v>
      </c>
      <c r="H28" s="206">
        <f t="shared" si="12"/>
        <v>798.4</v>
      </c>
      <c r="I28" s="206">
        <f t="shared" si="2"/>
        <v>564.18908876700141</v>
      </c>
      <c r="J28" s="207">
        <f t="shared" si="3"/>
        <v>2104989.4901896822</v>
      </c>
      <c r="K28" s="214">
        <f t="shared" si="6"/>
        <v>2978830.4</v>
      </c>
      <c r="L28" s="213">
        <f t="shared" si="4"/>
        <v>-873840.90981031768</v>
      </c>
      <c r="M28" s="210">
        <f t="shared" si="7"/>
        <v>-55162.561630617893</v>
      </c>
      <c r="N28" s="211">
        <f t="shared" si="8"/>
        <v>-929003.47144093562</v>
      </c>
      <c r="O28" s="210">
        <f t="shared" si="9"/>
        <v>0</v>
      </c>
      <c r="P28" s="210">
        <f t="shared" si="10"/>
        <v>0</v>
      </c>
      <c r="Q28" s="210">
        <v>0</v>
      </c>
      <c r="R28" s="211">
        <f t="shared" si="11"/>
        <v>-929003.47144093562</v>
      </c>
    </row>
    <row r="29" spans="1:18" x14ac:dyDescent="0.25">
      <c r="A29" s="126">
        <v>10</v>
      </c>
      <c r="B29" s="202">
        <f t="shared" si="5"/>
        <v>43739</v>
      </c>
      <c r="C29" s="203">
        <v>43774</v>
      </c>
      <c r="D29" s="203">
        <v>43789</v>
      </c>
      <c r="E29" s="54" t="s">
        <v>21</v>
      </c>
      <c r="F29" s="163">
        <v>9</v>
      </c>
      <c r="G29" s="205">
        <v>3527</v>
      </c>
      <c r="H29" s="206">
        <f t="shared" si="12"/>
        <v>798.4</v>
      </c>
      <c r="I29" s="206">
        <f t="shared" si="2"/>
        <v>564.18908876700141</v>
      </c>
      <c r="J29" s="207">
        <f t="shared" si="3"/>
        <v>1989894.9160812139</v>
      </c>
      <c r="K29" s="214">
        <f t="shared" si="6"/>
        <v>2815956.8</v>
      </c>
      <c r="L29" s="213">
        <f t="shared" si="4"/>
        <v>-826061.88391878596</v>
      </c>
      <c r="M29" s="210">
        <f t="shared" si="7"/>
        <v>-52146.436577643886</v>
      </c>
      <c r="N29" s="211">
        <f t="shared" si="8"/>
        <v>-878208.32049642981</v>
      </c>
      <c r="O29" s="210">
        <f t="shared" si="9"/>
        <v>0</v>
      </c>
      <c r="P29" s="210">
        <f t="shared" si="10"/>
        <v>0</v>
      </c>
      <c r="Q29" s="210">
        <v>0</v>
      </c>
      <c r="R29" s="211">
        <f t="shared" si="11"/>
        <v>-878208.32049642981</v>
      </c>
    </row>
    <row r="30" spans="1:18" x14ac:dyDescent="0.25">
      <c r="A30" s="163">
        <v>11</v>
      </c>
      <c r="B30" s="202">
        <f t="shared" si="5"/>
        <v>43770</v>
      </c>
      <c r="C30" s="203">
        <v>43803</v>
      </c>
      <c r="D30" s="203">
        <v>43818</v>
      </c>
      <c r="E30" s="54" t="s">
        <v>21</v>
      </c>
      <c r="F30" s="163">
        <v>9</v>
      </c>
      <c r="G30" s="205">
        <v>2569</v>
      </c>
      <c r="H30" s="206">
        <f t="shared" si="12"/>
        <v>798.4</v>
      </c>
      <c r="I30" s="206">
        <f t="shared" si="2"/>
        <v>564.18908876700141</v>
      </c>
      <c r="J30" s="207">
        <f t="shared" si="3"/>
        <v>1449401.7690424267</v>
      </c>
      <c r="K30" s="214">
        <f t="shared" si="6"/>
        <v>2051089.5999999999</v>
      </c>
      <c r="L30" s="213">
        <f t="shared" si="4"/>
        <v>-601687.83095757314</v>
      </c>
      <c r="M30" s="210">
        <f t="shared" si="7"/>
        <v>-37982.47677005022</v>
      </c>
      <c r="N30" s="211">
        <f t="shared" si="8"/>
        <v>-639670.30772762338</v>
      </c>
      <c r="O30" s="210">
        <f t="shared" si="9"/>
        <v>0</v>
      </c>
      <c r="P30" s="210">
        <f t="shared" si="10"/>
        <v>0</v>
      </c>
      <c r="Q30" s="210">
        <v>0</v>
      </c>
      <c r="R30" s="211">
        <f t="shared" si="11"/>
        <v>-639670.30772762338</v>
      </c>
    </row>
    <row r="31" spans="1:18" x14ac:dyDescent="0.25">
      <c r="A31" s="163">
        <v>12</v>
      </c>
      <c r="B31" s="202">
        <f t="shared" si="5"/>
        <v>43800</v>
      </c>
      <c r="C31" s="215">
        <v>43833</v>
      </c>
      <c r="D31" s="216">
        <v>43850</v>
      </c>
      <c r="E31" s="54" t="s">
        <v>21</v>
      </c>
      <c r="F31" s="163">
        <v>9</v>
      </c>
      <c r="G31" s="217">
        <v>2599</v>
      </c>
      <c r="H31" s="218">
        <f t="shared" si="12"/>
        <v>798.4</v>
      </c>
      <c r="I31" s="218">
        <f t="shared" si="2"/>
        <v>564.18908876700141</v>
      </c>
      <c r="J31" s="219">
        <f t="shared" si="3"/>
        <v>1466327.4417054367</v>
      </c>
      <c r="K31" s="220">
        <f t="shared" si="6"/>
        <v>2075041.5999999999</v>
      </c>
      <c r="L31" s="221">
        <f t="shared" si="4"/>
        <v>-608714.15829456318</v>
      </c>
      <c r="M31" s="210">
        <f t="shared" si="7"/>
        <v>-38426.024571958165</v>
      </c>
      <c r="N31" s="211">
        <f t="shared" si="8"/>
        <v>-647140.1828665213</v>
      </c>
      <c r="O31" s="210">
        <f t="shared" si="9"/>
        <v>0</v>
      </c>
      <c r="P31" s="210">
        <f t="shared" si="10"/>
        <v>0</v>
      </c>
      <c r="Q31" s="210">
        <v>0</v>
      </c>
      <c r="R31" s="211">
        <f t="shared" si="11"/>
        <v>-647140.1828665213</v>
      </c>
    </row>
    <row r="32" spans="1:18" x14ac:dyDescent="0.25">
      <c r="A32" s="126">
        <v>1</v>
      </c>
      <c r="B32" s="222">
        <f t="shared" si="5"/>
        <v>43466</v>
      </c>
      <c r="C32" s="223">
        <f t="shared" ref="C32:D43" si="13">+C20</f>
        <v>43501</v>
      </c>
      <c r="D32" s="223">
        <f t="shared" si="13"/>
        <v>43516</v>
      </c>
      <c r="E32" s="224" t="s">
        <v>22</v>
      </c>
      <c r="F32" s="225">
        <v>9</v>
      </c>
      <c r="G32" s="205">
        <v>2997</v>
      </c>
      <c r="H32" s="206">
        <f t="shared" ref="H32:H38" si="14">+$K$6</f>
        <v>904.88</v>
      </c>
      <c r="I32" s="206">
        <f t="shared" si="2"/>
        <v>564.18908876700141</v>
      </c>
      <c r="J32" s="207">
        <f t="shared" si="3"/>
        <v>1690874.6990347032</v>
      </c>
      <c r="K32" s="208">
        <f t="shared" si="6"/>
        <v>2711925.36</v>
      </c>
      <c r="L32" s="209">
        <f t="shared" si="4"/>
        <v>-1021050.6609652967</v>
      </c>
      <c r="M32" s="210">
        <f t="shared" si="7"/>
        <v>-44310.425410603544</v>
      </c>
      <c r="N32" s="211">
        <f t="shared" si="8"/>
        <v>-1065361.0863759003</v>
      </c>
      <c r="O32" s="210">
        <f t="shared" si="9"/>
        <v>0</v>
      </c>
      <c r="P32" s="210">
        <f t="shared" si="10"/>
        <v>0</v>
      </c>
      <c r="Q32" s="210">
        <v>0</v>
      </c>
      <c r="R32" s="211">
        <f t="shared" si="11"/>
        <v>-1065361.0863759003</v>
      </c>
    </row>
    <row r="33" spans="1:18" x14ac:dyDescent="0.25">
      <c r="A33" s="163">
        <v>2</v>
      </c>
      <c r="B33" s="202">
        <f t="shared" si="5"/>
        <v>43497</v>
      </c>
      <c r="C33" s="226">
        <f t="shared" si="13"/>
        <v>43529</v>
      </c>
      <c r="D33" s="226">
        <f t="shared" si="13"/>
        <v>43544</v>
      </c>
      <c r="E33" s="212" t="s">
        <v>22</v>
      </c>
      <c r="F33" s="163">
        <v>9</v>
      </c>
      <c r="G33" s="205">
        <v>2891</v>
      </c>
      <c r="H33" s="206">
        <f t="shared" si="14"/>
        <v>904.88</v>
      </c>
      <c r="I33" s="206">
        <f t="shared" si="2"/>
        <v>564.18908876700141</v>
      </c>
      <c r="J33" s="207">
        <f t="shared" si="3"/>
        <v>1631070.6556254011</v>
      </c>
      <c r="K33" s="208">
        <f t="shared" si="6"/>
        <v>2616008.08</v>
      </c>
      <c r="L33" s="209">
        <f t="shared" si="4"/>
        <v>-984937.42437459901</v>
      </c>
      <c r="M33" s="210">
        <f t="shared" si="7"/>
        <v>-42743.223177195483</v>
      </c>
      <c r="N33" s="211">
        <f t="shared" si="8"/>
        <v>-1027680.6475517945</v>
      </c>
      <c r="O33" s="210">
        <f t="shared" si="9"/>
        <v>0</v>
      </c>
      <c r="P33" s="210">
        <f t="shared" si="10"/>
        <v>0</v>
      </c>
      <c r="Q33" s="210">
        <v>0</v>
      </c>
      <c r="R33" s="211">
        <f t="shared" si="11"/>
        <v>-1027680.6475517945</v>
      </c>
    </row>
    <row r="34" spans="1:18" x14ac:dyDescent="0.25">
      <c r="A34" s="163">
        <v>3</v>
      </c>
      <c r="B34" s="202">
        <f t="shared" si="5"/>
        <v>43525</v>
      </c>
      <c r="C34" s="226">
        <f t="shared" si="13"/>
        <v>43558</v>
      </c>
      <c r="D34" s="226">
        <f t="shared" si="13"/>
        <v>43573</v>
      </c>
      <c r="E34" s="212" t="s">
        <v>22</v>
      </c>
      <c r="F34" s="163">
        <v>9</v>
      </c>
      <c r="G34" s="205">
        <v>2972</v>
      </c>
      <c r="H34" s="206">
        <f t="shared" si="14"/>
        <v>904.88</v>
      </c>
      <c r="I34" s="206">
        <f t="shared" si="2"/>
        <v>564.18908876700141</v>
      </c>
      <c r="J34" s="207">
        <f t="shared" si="3"/>
        <v>1676769.9718155281</v>
      </c>
      <c r="K34" s="208">
        <f t="shared" ref="K34:K93" si="15">+$G34*H34</f>
        <v>2689303.36</v>
      </c>
      <c r="L34" s="209">
        <f t="shared" si="4"/>
        <v>-1012533.3881844718</v>
      </c>
      <c r="M34" s="210">
        <f t="shared" si="7"/>
        <v>-43940.80224234693</v>
      </c>
      <c r="N34" s="211">
        <f t="shared" si="8"/>
        <v>-1056474.1904268188</v>
      </c>
      <c r="O34" s="210">
        <f t="shared" si="9"/>
        <v>0</v>
      </c>
      <c r="P34" s="210">
        <f t="shared" si="10"/>
        <v>0</v>
      </c>
      <c r="Q34" s="210">
        <v>0</v>
      </c>
      <c r="R34" s="211">
        <f t="shared" si="11"/>
        <v>-1056474.1904268188</v>
      </c>
    </row>
    <row r="35" spans="1:18" x14ac:dyDescent="0.25">
      <c r="A35" s="126">
        <v>4</v>
      </c>
      <c r="B35" s="202">
        <f t="shared" si="5"/>
        <v>43556</v>
      </c>
      <c r="C35" s="226">
        <f t="shared" si="13"/>
        <v>43588</v>
      </c>
      <c r="D35" s="226">
        <f t="shared" si="13"/>
        <v>43605</v>
      </c>
      <c r="E35" s="212" t="s">
        <v>22</v>
      </c>
      <c r="F35" s="163">
        <v>9</v>
      </c>
      <c r="G35" s="205">
        <v>2449</v>
      </c>
      <c r="H35" s="206">
        <f t="shared" si="14"/>
        <v>904.88</v>
      </c>
      <c r="I35" s="206">
        <f t="shared" si="2"/>
        <v>564.18908876700141</v>
      </c>
      <c r="J35" s="207">
        <f t="shared" si="3"/>
        <v>1381699.0783903864</v>
      </c>
      <c r="K35" s="208">
        <f t="shared" si="15"/>
        <v>2216051.12</v>
      </c>
      <c r="L35" s="209">
        <f t="shared" ref="L35:L57" si="16">+J35-K35</f>
        <v>-834352.04160961369</v>
      </c>
      <c r="M35" s="210">
        <f t="shared" si="7"/>
        <v>-36208.285562418445</v>
      </c>
      <c r="N35" s="211">
        <f t="shared" si="8"/>
        <v>-870560.32717203209</v>
      </c>
      <c r="O35" s="210">
        <f t="shared" si="9"/>
        <v>0</v>
      </c>
      <c r="P35" s="210">
        <f t="shared" si="10"/>
        <v>0</v>
      </c>
      <c r="Q35" s="210">
        <v>0</v>
      </c>
      <c r="R35" s="211">
        <f t="shared" si="11"/>
        <v>-870560.32717203209</v>
      </c>
    </row>
    <row r="36" spans="1:18" x14ac:dyDescent="0.25">
      <c r="A36" s="163">
        <v>5</v>
      </c>
      <c r="B36" s="202">
        <f t="shared" si="5"/>
        <v>43586</v>
      </c>
      <c r="C36" s="226">
        <f t="shared" si="13"/>
        <v>43621</v>
      </c>
      <c r="D36" s="226">
        <f t="shared" si="13"/>
        <v>43636</v>
      </c>
      <c r="E36" s="54" t="s">
        <v>22</v>
      </c>
      <c r="F36" s="163">
        <v>9</v>
      </c>
      <c r="G36" s="205">
        <v>3052</v>
      </c>
      <c r="H36" s="206">
        <f t="shared" si="14"/>
        <v>904.88</v>
      </c>
      <c r="I36" s="206">
        <f t="shared" si="2"/>
        <v>564.18908876700141</v>
      </c>
      <c r="J36" s="207">
        <f t="shared" si="3"/>
        <v>1721905.0989168882</v>
      </c>
      <c r="K36" s="208">
        <f t="shared" si="15"/>
        <v>2761693.76</v>
      </c>
      <c r="L36" s="209">
        <f t="shared" si="16"/>
        <v>-1039788.6610831115</v>
      </c>
      <c r="M36" s="210">
        <f t="shared" si="7"/>
        <v>-45123.596380768111</v>
      </c>
      <c r="N36" s="211">
        <f t="shared" si="8"/>
        <v>-1084912.2574638797</v>
      </c>
      <c r="O36" s="210">
        <f t="shared" si="9"/>
        <v>0</v>
      </c>
      <c r="P36" s="210">
        <f t="shared" si="10"/>
        <v>0</v>
      </c>
      <c r="Q36" s="210">
        <v>0</v>
      </c>
      <c r="R36" s="211">
        <f t="shared" si="11"/>
        <v>-1084912.2574638797</v>
      </c>
    </row>
    <row r="37" spans="1:18" x14ac:dyDescent="0.25">
      <c r="A37" s="163">
        <v>6</v>
      </c>
      <c r="B37" s="202">
        <f t="shared" si="5"/>
        <v>43617</v>
      </c>
      <c r="C37" s="226">
        <f t="shared" si="13"/>
        <v>43649</v>
      </c>
      <c r="D37" s="226">
        <f t="shared" si="13"/>
        <v>43664</v>
      </c>
      <c r="E37" s="54" t="s">
        <v>22</v>
      </c>
      <c r="F37" s="163">
        <v>9</v>
      </c>
      <c r="G37" s="205">
        <v>3362</v>
      </c>
      <c r="H37" s="206">
        <f t="shared" si="14"/>
        <v>904.88</v>
      </c>
      <c r="I37" s="206">
        <f t="shared" si="2"/>
        <v>564.18908876700141</v>
      </c>
      <c r="J37" s="207">
        <f t="shared" si="3"/>
        <v>1896803.7164346587</v>
      </c>
      <c r="K37" s="208">
        <f t="shared" si="15"/>
        <v>3042206.56</v>
      </c>
      <c r="L37" s="213">
        <f t="shared" si="16"/>
        <v>-1145402.8435653413</v>
      </c>
      <c r="M37" s="210">
        <f t="shared" si="7"/>
        <v>-49706.923667150193</v>
      </c>
      <c r="N37" s="211">
        <f t="shared" si="8"/>
        <v>-1195109.7672324914</v>
      </c>
      <c r="O37" s="210">
        <f t="shared" si="9"/>
        <v>0</v>
      </c>
      <c r="P37" s="210">
        <f t="shared" si="10"/>
        <v>0</v>
      </c>
      <c r="Q37" s="210">
        <v>0</v>
      </c>
      <c r="R37" s="211">
        <f t="shared" si="11"/>
        <v>-1195109.7672324914</v>
      </c>
    </row>
    <row r="38" spans="1:18" x14ac:dyDescent="0.25">
      <c r="A38" s="126">
        <v>7</v>
      </c>
      <c r="B38" s="202">
        <f t="shared" si="5"/>
        <v>43647</v>
      </c>
      <c r="C38" s="226">
        <f t="shared" si="13"/>
        <v>43682</v>
      </c>
      <c r="D38" s="226">
        <f t="shared" si="13"/>
        <v>43697</v>
      </c>
      <c r="E38" s="54" t="s">
        <v>22</v>
      </c>
      <c r="F38" s="163">
        <v>9</v>
      </c>
      <c r="G38" s="205">
        <v>3457</v>
      </c>
      <c r="H38" s="206">
        <f t="shared" si="14"/>
        <v>904.88</v>
      </c>
      <c r="I38" s="206">
        <f t="shared" si="2"/>
        <v>564.18908876700141</v>
      </c>
      <c r="J38" s="207">
        <f t="shared" si="3"/>
        <v>1950401.679867524</v>
      </c>
      <c r="K38" s="214">
        <f t="shared" si="15"/>
        <v>3128170.16</v>
      </c>
      <c r="L38" s="213">
        <f t="shared" si="16"/>
        <v>-1177768.4801324762</v>
      </c>
      <c r="M38" s="210">
        <f t="shared" si="7"/>
        <v>-51111.491706525339</v>
      </c>
      <c r="N38" s="211">
        <f t="shared" si="8"/>
        <v>-1228879.9718390016</v>
      </c>
      <c r="O38" s="210">
        <f t="shared" si="9"/>
        <v>0</v>
      </c>
      <c r="P38" s="210">
        <f t="shared" si="10"/>
        <v>0</v>
      </c>
      <c r="Q38" s="210">
        <v>0</v>
      </c>
      <c r="R38" s="211">
        <f t="shared" si="11"/>
        <v>-1228879.9718390016</v>
      </c>
    </row>
    <row r="39" spans="1:18" x14ac:dyDescent="0.25">
      <c r="A39" s="163">
        <v>8</v>
      </c>
      <c r="B39" s="202">
        <f t="shared" si="5"/>
        <v>43678</v>
      </c>
      <c r="C39" s="226">
        <f t="shared" si="13"/>
        <v>43712</v>
      </c>
      <c r="D39" s="226">
        <f t="shared" si="13"/>
        <v>43727</v>
      </c>
      <c r="E39" s="54" t="s">
        <v>22</v>
      </c>
      <c r="F39" s="163">
        <v>9</v>
      </c>
      <c r="G39" s="205">
        <v>3664</v>
      </c>
      <c r="H39" s="206">
        <f t="shared" si="12"/>
        <v>798.4</v>
      </c>
      <c r="I39" s="206">
        <f t="shared" si="2"/>
        <v>564.18908876700141</v>
      </c>
      <c r="J39" s="207">
        <f t="shared" si="3"/>
        <v>2067188.8212422931</v>
      </c>
      <c r="K39" s="214">
        <f t="shared" si="15"/>
        <v>2925337.6</v>
      </c>
      <c r="L39" s="213">
        <f t="shared" si="16"/>
        <v>-858148.77875770698</v>
      </c>
      <c r="M39" s="210">
        <f t="shared" si="7"/>
        <v>-54171.971539690152</v>
      </c>
      <c r="N39" s="211">
        <f t="shared" si="8"/>
        <v>-912320.75029739714</v>
      </c>
      <c r="O39" s="210">
        <f t="shared" si="9"/>
        <v>0</v>
      </c>
      <c r="P39" s="210">
        <f t="shared" si="10"/>
        <v>0</v>
      </c>
      <c r="Q39" s="210">
        <v>0</v>
      </c>
      <c r="R39" s="211">
        <f t="shared" si="11"/>
        <v>-912320.75029739714</v>
      </c>
    </row>
    <row r="40" spans="1:18" x14ac:dyDescent="0.25">
      <c r="A40" s="163">
        <v>9</v>
      </c>
      <c r="B40" s="202">
        <f t="shared" si="5"/>
        <v>43709</v>
      </c>
      <c r="C40" s="226">
        <f t="shared" si="13"/>
        <v>43741</v>
      </c>
      <c r="D40" s="226">
        <f t="shared" si="13"/>
        <v>43756</v>
      </c>
      <c r="E40" s="54" t="s">
        <v>22</v>
      </c>
      <c r="F40" s="163">
        <v>9</v>
      </c>
      <c r="G40" s="205">
        <v>3474</v>
      </c>
      <c r="H40" s="206">
        <f t="shared" si="12"/>
        <v>798.4</v>
      </c>
      <c r="I40" s="206">
        <f t="shared" si="2"/>
        <v>564.18908876700141</v>
      </c>
      <c r="J40" s="207">
        <f t="shared" si="3"/>
        <v>1959992.8943765629</v>
      </c>
      <c r="K40" s="214">
        <f t="shared" si="15"/>
        <v>2773641.6</v>
      </c>
      <c r="L40" s="213">
        <f t="shared" si="16"/>
        <v>-813648.70562343718</v>
      </c>
      <c r="M40" s="210">
        <f t="shared" si="7"/>
        <v>-51362.835460939845</v>
      </c>
      <c r="N40" s="211">
        <f t="shared" si="8"/>
        <v>-865011.54108437698</v>
      </c>
      <c r="O40" s="210">
        <f t="shared" si="9"/>
        <v>0</v>
      </c>
      <c r="P40" s="210">
        <f t="shared" si="10"/>
        <v>0</v>
      </c>
      <c r="Q40" s="210">
        <v>0</v>
      </c>
      <c r="R40" s="211">
        <f t="shared" si="11"/>
        <v>-865011.54108437698</v>
      </c>
    </row>
    <row r="41" spans="1:18" x14ac:dyDescent="0.25">
      <c r="A41" s="126">
        <v>10</v>
      </c>
      <c r="B41" s="202">
        <f t="shared" si="5"/>
        <v>43739</v>
      </c>
      <c r="C41" s="226">
        <f t="shared" si="13"/>
        <v>43774</v>
      </c>
      <c r="D41" s="226">
        <f t="shared" si="13"/>
        <v>43789</v>
      </c>
      <c r="E41" s="54" t="s">
        <v>22</v>
      </c>
      <c r="F41" s="163">
        <v>9</v>
      </c>
      <c r="G41" s="205">
        <v>3301</v>
      </c>
      <c r="H41" s="206">
        <f t="shared" si="12"/>
        <v>798.4</v>
      </c>
      <c r="I41" s="206">
        <f t="shared" si="2"/>
        <v>564.18908876700141</v>
      </c>
      <c r="J41" s="207">
        <f t="shared" si="3"/>
        <v>1862388.1820198717</v>
      </c>
      <c r="K41" s="214">
        <f t="shared" si="15"/>
        <v>2635518.4</v>
      </c>
      <c r="L41" s="213">
        <f t="shared" si="16"/>
        <v>-773130.21798012825</v>
      </c>
      <c r="M41" s="210">
        <f t="shared" si="7"/>
        <v>-48805.043136604043</v>
      </c>
      <c r="N41" s="211">
        <f t="shared" si="8"/>
        <v>-821935.26111673226</v>
      </c>
      <c r="O41" s="210">
        <f t="shared" si="9"/>
        <v>0</v>
      </c>
      <c r="P41" s="210">
        <f t="shared" si="10"/>
        <v>0</v>
      </c>
      <c r="Q41" s="210">
        <v>0</v>
      </c>
      <c r="R41" s="211">
        <f t="shared" si="11"/>
        <v>-821935.26111673226</v>
      </c>
    </row>
    <row r="42" spans="1:18" x14ac:dyDescent="0.25">
      <c r="A42" s="163">
        <v>11</v>
      </c>
      <c r="B42" s="202">
        <f t="shared" si="5"/>
        <v>43770</v>
      </c>
      <c r="C42" s="226">
        <f t="shared" si="13"/>
        <v>43803</v>
      </c>
      <c r="D42" s="226">
        <f t="shared" si="13"/>
        <v>43818</v>
      </c>
      <c r="E42" s="54" t="s">
        <v>22</v>
      </c>
      <c r="F42" s="163">
        <v>9</v>
      </c>
      <c r="G42" s="205">
        <v>2932</v>
      </c>
      <c r="H42" s="206">
        <f t="shared" si="12"/>
        <v>798.4</v>
      </c>
      <c r="I42" s="206">
        <f t="shared" si="2"/>
        <v>564.18908876700141</v>
      </c>
      <c r="J42" s="207">
        <f t="shared" si="3"/>
        <v>1654202.4082648482</v>
      </c>
      <c r="K42" s="214">
        <f t="shared" si="15"/>
        <v>2340908.7999999998</v>
      </c>
      <c r="L42" s="213">
        <f t="shared" si="16"/>
        <v>-686706.39173515164</v>
      </c>
      <c r="M42" s="210">
        <f t="shared" si="7"/>
        <v>-43349.405173136336</v>
      </c>
      <c r="N42" s="211">
        <f t="shared" si="8"/>
        <v>-730055.79690828803</v>
      </c>
      <c r="O42" s="210">
        <f t="shared" si="9"/>
        <v>0</v>
      </c>
      <c r="P42" s="210">
        <f t="shared" si="10"/>
        <v>0</v>
      </c>
      <c r="Q42" s="210">
        <v>0</v>
      </c>
      <c r="R42" s="211">
        <f t="shared" si="11"/>
        <v>-730055.79690828803</v>
      </c>
    </row>
    <row r="43" spans="1:18" x14ac:dyDescent="0.25">
      <c r="A43" s="163">
        <v>12</v>
      </c>
      <c r="B43" s="202">
        <f t="shared" si="5"/>
        <v>43800</v>
      </c>
      <c r="C43" s="226">
        <f t="shared" si="13"/>
        <v>43833</v>
      </c>
      <c r="D43" s="226">
        <f t="shared" si="13"/>
        <v>43850</v>
      </c>
      <c r="E43" s="54" t="s">
        <v>22</v>
      </c>
      <c r="F43" s="163">
        <v>9</v>
      </c>
      <c r="G43" s="217">
        <v>2839</v>
      </c>
      <c r="H43" s="218">
        <f t="shared" si="12"/>
        <v>798.4</v>
      </c>
      <c r="I43" s="218">
        <f t="shared" si="2"/>
        <v>564.18908876700141</v>
      </c>
      <c r="J43" s="219">
        <f t="shared" si="3"/>
        <v>1601732.823009517</v>
      </c>
      <c r="K43" s="220">
        <f t="shared" si="15"/>
        <v>2266657.6</v>
      </c>
      <c r="L43" s="221">
        <f t="shared" si="16"/>
        <v>-664924.77699048305</v>
      </c>
      <c r="M43" s="210">
        <f t="shared" si="7"/>
        <v>-41974.406987221708</v>
      </c>
      <c r="N43" s="211">
        <f t="shared" si="8"/>
        <v>-706899.18397770473</v>
      </c>
      <c r="O43" s="210">
        <f t="shared" si="9"/>
        <v>0</v>
      </c>
      <c r="P43" s="210">
        <f t="shared" si="10"/>
        <v>0</v>
      </c>
      <c r="Q43" s="210">
        <v>0</v>
      </c>
      <c r="R43" s="211">
        <f t="shared" si="11"/>
        <v>-706899.18397770473</v>
      </c>
    </row>
    <row r="44" spans="1:18" x14ac:dyDescent="0.25">
      <c r="A44" s="126">
        <v>1</v>
      </c>
      <c r="B44" s="222">
        <f t="shared" ref="B44:B55" si="17">DATE($R$1,A44,1)</f>
        <v>43466</v>
      </c>
      <c r="C44" s="223">
        <f t="shared" ref="C44:D55" si="18">+C32</f>
        <v>43501</v>
      </c>
      <c r="D44" s="223">
        <f t="shared" si="18"/>
        <v>43516</v>
      </c>
      <c r="E44" s="224" t="s">
        <v>83</v>
      </c>
      <c r="F44" s="225">
        <v>9</v>
      </c>
      <c r="G44" s="205">
        <v>157</v>
      </c>
      <c r="H44" s="206">
        <f t="shared" ref="H44:H50" si="19">+$K$6</f>
        <v>904.88</v>
      </c>
      <c r="I44" s="206">
        <f t="shared" si="2"/>
        <v>564.18908876700141</v>
      </c>
      <c r="J44" s="210">
        <f t="shared" ref="J44:J55" si="20">+$G44*I44</f>
        <v>88577.686936419224</v>
      </c>
      <c r="K44" s="214">
        <f t="shared" ref="K44:K55" si="21">+$G44*H44</f>
        <v>142066.16</v>
      </c>
      <c r="L44" s="213">
        <f t="shared" ref="L44:L55" si="22">+J44-K44</f>
        <v>-53488.473063580779</v>
      </c>
      <c r="M44" s="210">
        <f t="shared" si="7"/>
        <v>-2321.2334966515705</v>
      </c>
      <c r="N44" s="211">
        <f t="shared" si="8"/>
        <v>-55809.706560232349</v>
      </c>
      <c r="O44" s="210">
        <f t="shared" si="9"/>
        <v>0</v>
      </c>
      <c r="P44" s="210">
        <f t="shared" si="10"/>
        <v>0</v>
      </c>
      <c r="Q44" s="210">
        <v>0</v>
      </c>
      <c r="R44" s="211">
        <f t="shared" si="11"/>
        <v>-55809.706560232349</v>
      </c>
    </row>
    <row r="45" spans="1:18" x14ac:dyDescent="0.25">
      <c r="A45" s="163">
        <v>2</v>
      </c>
      <c r="B45" s="202">
        <f t="shared" si="17"/>
        <v>43497</v>
      </c>
      <c r="C45" s="226">
        <f t="shared" si="18"/>
        <v>43529</v>
      </c>
      <c r="D45" s="226">
        <f t="shared" si="18"/>
        <v>43544</v>
      </c>
      <c r="E45" s="212" t="s">
        <v>83</v>
      </c>
      <c r="F45" s="163">
        <v>9</v>
      </c>
      <c r="G45" s="205">
        <v>138</v>
      </c>
      <c r="H45" s="206">
        <f t="shared" si="19"/>
        <v>904.88</v>
      </c>
      <c r="I45" s="206">
        <f t="shared" si="2"/>
        <v>564.18908876700141</v>
      </c>
      <c r="J45" s="210">
        <f t="shared" si="20"/>
        <v>77858.094249846195</v>
      </c>
      <c r="K45" s="214">
        <f t="shared" si="21"/>
        <v>124873.44</v>
      </c>
      <c r="L45" s="213">
        <f t="shared" si="22"/>
        <v>-47015.345750153807</v>
      </c>
      <c r="M45" s="210">
        <f t="shared" si="7"/>
        <v>-2040.3198887765395</v>
      </c>
      <c r="N45" s="211">
        <f t="shared" si="8"/>
        <v>-49055.665638930346</v>
      </c>
      <c r="O45" s="210">
        <f t="shared" si="9"/>
        <v>0</v>
      </c>
      <c r="P45" s="210">
        <f t="shared" si="10"/>
        <v>0</v>
      </c>
      <c r="Q45" s="210">
        <v>0</v>
      </c>
      <c r="R45" s="211">
        <f t="shared" si="11"/>
        <v>-49055.665638930346</v>
      </c>
    </row>
    <row r="46" spans="1:18" x14ac:dyDescent="0.25">
      <c r="A46" s="163">
        <v>3</v>
      </c>
      <c r="B46" s="202">
        <f t="shared" si="17"/>
        <v>43525</v>
      </c>
      <c r="C46" s="226">
        <f t="shared" si="18"/>
        <v>43558</v>
      </c>
      <c r="D46" s="226">
        <f t="shared" si="18"/>
        <v>43573</v>
      </c>
      <c r="E46" s="212" t="s">
        <v>83</v>
      </c>
      <c r="F46" s="163">
        <v>9</v>
      </c>
      <c r="G46" s="205">
        <v>153</v>
      </c>
      <c r="H46" s="206">
        <f t="shared" si="19"/>
        <v>904.88</v>
      </c>
      <c r="I46" s="206">
        <f t="shared" si="2"/>
        <v>564.18908876700141</v>
      </c>
      <c r="J46" s="210">
        <f t="shared" si="20"/>
        <v>86320.930581351218</v>
      </c>
      <c r="K46" s="214">
        <f t="shared" si="21"/>
        <v>138446.63999999998</v>
      </c>
      <c r="L46" s="213">
        <f t="shared" si="22"/>
        <v>-52125.709418648767</v>
      </c>
      <c r="M46" s="210">
        <f t="shared" si="7"/>
        <v>-2262.0937897305116</v>
      </c>
      <c r="N46" s="211">
        <f t="shared" si="8"/>
        <v>-54387.803208379279</v>
      </c>
      <c r="O46" s="210">
        <f t="shared" si="9"/>
        <v>0</v>
      </c>
      <c r="P46" s="210">
        <f t="shared" si="10"/>
        <v>0</v>
      </c>
      <c r="Q46" s="210">
        <v>0</v>
      </c>
      <c r="R46" s="211">
        <f t="shared" si="11"/>
        <v>-54387.803208379279</v>
      </c>
    </row>
    <row r="47" spans="1:18" x14ac:dyDescent="0.25">
      <c r="A47" s="126">
        <v>4</v>
      </c>
      <c r="B47" s="202">
        <f t="shared" si="17"/>
        <v>43556</v>
      </c>
      <c r="C47" s="226">
        <f t="shared" si="18"/>
        <v>43588</v>
      </c>
      <c r="D47" s="226">
        <f t="shared" si="18"/>
        <v>43605</v>
      </c>
      <c r="E47" s="212" t="s">
        <v>83</v>
      </c>
      <c r="F47" s="163">
        <v>9</v>
      </c>
      <c r="G47" s="205">
        <v>85</v>
      </c>
      <c r="H47" s="206">
        <f t="shared" si="19"/>
        <v>904.88</v>
      </c>
      <c r="I47" s="206">
        <f t="shared" si="2"/>
        <v>564.18908876700141</v>
      </c>
      <c r="J47" s="210">
        <f t="shared" si="20"/>
        <v>47956.072545195122</v>
      </c>
      <c r="K47" s="214">
        <f t="shared" si="21"/>
        <v>76914.8</v>
      </c>
      <c r="L47" s="213">
        <f t="shared" si="22"/>
        <v>-28958.727454804881</v>
      </c>
      <c r="M47" s="210">
        <f t="shared" si="7"/>
        <v>-1256.7187720725065</v>
      </c>
      <c r="N47" s="211">
        <f t="shared" si="8"/>
        <v>-30215.446226877386</v>
      </c>
      <c r="O47" s="210">
        <f t="shared" si="9"/>
        <v>0</v>
      </c>
      <c r="P47" s="210">
        <f t="shared" si="10"/>
        <v>0</v>
      </c>
      <c r="Q47" s="210">
        <v>0</v>
      </c>
      <c r="R47" s="211">
        <f t="shared" si="11"/>
        <v>-30215.446226877386</v>
      </c>
    </row>
    <row r="48" spans="1:18" x14ac:dyDescent="0.25">
      <c r="A48" s="163">
        <v>5</v>
      </c>
      <c r="B48" s="202">
        <f t="shared" si="17"/>
        <v>43586</v>
      </c>
      <c r="C48" s="226">
        <f t="shared" si="18"/>
        <v>43621</v>
      </c>
      <c r="D48" s="226">
        <f t="shared" si="18"/>
        <v>43636</v>
      </c>
      <c r="E48" s="212" t="s">
        <v>83</v>
      </c>
      <c r="F48" s="163">
        <v>9</v>
      </c>
      <c r="G48" s="205">
        <v>115</v>
      </c>
      <c r="H48" s="206">
        <f t="shared" si="19"/>
        <v>904.88</v>
      </c>
      <c r="I48" s="206">
        <f t="shared" si="2"/>
        <v>564.18908876700141</v>
      </c>
      <c r="J48" s="210">
        <f t="shared" si="20"/>
        <v>64881.74520820516</v>
      </c>
      <c r="K48" s="214">
        <f t="shared" si="21"/>
        <v>104061.2</v>
      </c>
      <c r="L48" s="213">
        <f t="shared" si="22"/>
        <v>-39179.454791794837</v>
      </c>
      <c r="M48" s="210">
        <f t="shared" si="7"/>
        <v>-1700.2665739804497</v>
      </c>
      <c r="N48" s="211">
        <f t="shared" si="8"/>
        <v>-40879.721365775287</v>
      </c>
      <c r="O48" s="210">
        <f t="shared" si="9"/>
        <v>0</v>
      </c>
      <c r="P48" s="210">
        <f t="shared" si="10"/>
        <v>0</v>
      </c>
      <c r="Q48" s="210">
        <v>0</v>
      </c>
      <c r="R48" s="211">
        <f t="shared" si="11"/>
        <v>-40879.721365775287</v>
      </c>
    </row>
    <row r="49" spans="1:18" x14ac:dyDescent="0.25">
      <c r="A49" s="163">
        <v>6</v>
      </c>
      <c r="B49" s="202">
        <f t="shared" si="17"/>
        <v>43617</v>
      </c>
      <c r="C49" s="226">
        <f t="shared" si="18"/>
        <v>43649</v>
      </c>
      <c r="D49" s="226">
        <f t="shared" si="18"/>
        <v>43664</v>
      </c>
      <c r="E49" s="212" t="s">
        <v>83</v>
      </c>
      <c r="F49" s="163">
        <v>9</v>
      </c>
      <c r="G49" s="205">
        <v>119</v>
      </c>
      <c r="H49" s="206">
        <f t="shared" si="19"/>
        <v>904.88</v>
      </c>
      <c r="I49" s="206">
        <f t="shared" si="2"/>
        <v>564.18908876700141</v>
      </c>
      <c r="J49" s="210">
        <f t="shared" si="20"/>
        <v>67138.501563273167</v>
      </c>
      <c r="K49" s="214">
        <f t="shared" si="21"/>
        <v>107680.72</v>
      </c>
      <c r="L49" s="213">
        <f t="shared" si="22"/>
        <v>-40542.218436726835</v>
      </c>
      <c r="M49" s="210">
        <f t="shared" si="7"/>
        <v>-1759.4062809015088</v>
      </c>
      <c r="N49" s="211">
        <f t="shared" si="8"/>
        <v>-42301.624717628343</v>
      </c>
      <c r="O49" s="210">
        <f t="shared" si="9"/>
        <v>0</v>
      </c>
      <c r="P49" s="210">
        <f t="shared" si="10"/>
        <v>0</v>
      </c>
      <c r="Q49" s="210">
        <v>0</v>
      </c>
      <c r="R49" s="211">
        <f t="shared" si="11"/>
        <v>-42301.624717628343</v>
      </c>
    </row>
    <row r="50" spans="1:18" x14ac:dyDescent="0.25">
      <c r="A50" s="126">
        <v>7</v>
      </c>
      <c r="B50" s="202">
        <f t="shared" si="17"/>
        <v>43647</v>
      </c>
      <c r="C50" s="226">
        <f t="shared" si="18"/>
        <v>43682</v>
      </c>
      <c r="D50" s="226">
        <f t="shared" si="18"/>
        <v>43697</v>
      </c>
      <c r="E50" s="212" t="s">
        <v>83</v>
      </c>
      <c r="F50" s="163">
        <v>9</v>
      </c>
      <c r="G50" s="205">
        <v>136</v>
      </c>
      <c r="H50" s="206">
        <f t="shared" si="19"/>
        <v>904.88</v>
      </c>
      <c r="I50" s="206">
        <f t="shared" si="2"/>
        <v>564.18908876700141</v>
      </c>
      <c r="J50" s="210">
        <f t="shared" si="20"/>
        <v>76729.716072312192</v>
      </c>
      <c r="K50" s="214">
        <f t="shared" si="21"/>
        <v>123063.67999999999</v>
      </c>
      <c r="L50" s="213">
        <f t="shared" si="22"/>
        <v>-46333.963927687801</v>
      </c>
      <c r="M50" s="210">
        <f t="shared" si="7"/>
        <v>-2010.7500353160101</v>
      </c>
      <c r="N50" s="211">
        <f t="shared" si="8"/>
        <v>-48344.713963003807</v>
      </c>
      <c r="O50" s="210">
        <f t="shared" si="9"/>
        <v>0</v>
      </c>
      <c r="P50" s="210">
        <f t="shared" si="10"/>
        <v>0</v>
      </c>
      <c r="Q50" s="210">
        <v>0</v>
      </c>
      <c r="R50" s="211">
        <f t="shared" si="11"/>
        <v>-48344.713963003807</v>
      </c>
    </row>
    <row r="51" spans="1:18" x14ac:dyDescent="0.25">
      <c r="A51" s="163">
        <v>8</v>
      </c>
      <c r="B51" s="202">
        <f t="shared" si="17"/>
        <v>43678</v>
      </c>
      <c r="C51" s="226">
        <f t="shared" si="18"/>
        <v>43712</v>
      </c>
      <c r="D51" s="226">
        <f t="shared" si="18"/>
        <v>43727</v>
      </c>
      <c r="E51" s="212" t="s">
        <v>83</v>
      </c>
      <c r="F51" s="163">
        <v>9</v>
      </c>
      <c r="G51" s="205">
        <v>141</v>
      </c>
      <c r="H51" s="206">
        <f t="shared" si="12"/>
        <v>798.4</v>
      </c>
      <c r="I51" s="206">
        <f t="shared" si="2"/>
        <v>564.18908876700141</v>
      </c>
      <c r="J51" s="210">
        <f t="shared" si="20"/>
        <v>79550.6615161472</v>
      </c>
      <c r="K51" s="214">
        <f t="shared" si="21"/>
        <v>112574.39999999999</v>
      </c>
      <c r="L51" s="213">
        <f t="shared" si="22"/>
        <v>-33023.738483852794</v>
      </c>
      <c r="M51" s="210">
        <f t="shared" si="7"/>
        <v>-2084.6746689673341</v>
      </c>
      <c r="N51" s="211">
        <f t="shared" si="8"/>
        <v>-35108.413152820125</v>
      </c>
      <c r="O51" s="210">
        <f t="shared" si="9"/>
        <v>0</v>
      </c>
      <c r="P51" s="210">
        <f t="shared" si="10"/>
        <v>0</v>
      </c>
      <c r="Q51" s="210">
        <v>0</v>
      </c>
      <c r="R51" s="211">
        <f t="shared" si="11"/>
        <v>-35108.413152820125</v>
      </c>
    </row>
    <row r="52" spans="1:18" x14ac:dyDescent="0.25">
      <c r="A52" s="163">
        <v>9</v>
      </c>
      <c r="B52" s="202">
        <f t="shared" si="17"/>
        <v>43709</v>
      </c>
      <c r="C52" s="226">
        <f t="shared" si="18"/>
        <v>43741</v>
      </c>
      <c r="D52" s="226">
        <f t="shared" si="18"/>
        <v>43756</v>
      </c>
      <c r="E52" s="212" t="s">
        <v>83</v>
      </c>
      <c r="F52" s="163">
        <v>9</v>
      </c>
      <c r="G52" s="205">
        <v>137</v>
      </c>
      <c r="H52" s="206">
        <f t="shared" si="12"/>
        <v>798.4</v>
      </c>
      <c r="I52" s="206">
        <f t="shared" si="2"/>
        <v>564.18908876700141</v>
      </c>
      <c r="J52" s="210">
        <f t="shared" si="20"/>
        <v>77293.905161079194</v>
      </c>
      <c r="K52" s="214">
        <f t="shared" si="21"/>
        <v>109380.8</v>
      </c>
      <c r="L52" s="213">
        <f t="shared" si="22"/>
        <v>-32086.894838920809</v>
      </c>
      <c r="M52" s="210">
        <f t="shared" si="7"/>
        <v>-2025.534962046275</v>
      </c>
      <c r="N52" s="211">
        <f t="shared" si="8"/>
        <v>-34112.429800967082</v>
      </c>
      <c r="O52" s="210">
        <f t="shared" si="9"/>
        <v>0</v>
      </c>
      <c r="P52" s="210">
        <f t="shared" si="10"/>
        <v>0</v>
      </c>
      <c r="Q52" s="210">
        <v>0</v>
      </c>
      <c r="R52" s="211">
        <f t="shared" si="11"/>
        <v>-34112.429800967082</v>
      </c>
    </row>
    <row r="53" spans="1:18" x14ac:dyDescent="0.25">
      <c r="A53" s="126">
        <v>10</v>
      </c>
      <c r="B53" s="202">
        <f t="shared" si="17"/>
        <v>43739</v>
      </c>
      <c r="C53" s="226">
        <f t="shared" si="18"/>
        <v>43774</v>
      </c>
      <c r="D53" s="226">
        <f t="shared" si="18"/>
        <v>43789</v>
      </c>
      <c r="E53" s="212" t="s">
        <v>83</v>
      </c>
      <c r="F53" s="163">
        <v>9</v>
      </c>
      <c r="G53" s="205">
        <v>125</v>
      </c>
      <c r="H53" s="206">
        <f t="shared" si="12"/>
        <v>798.4</v>
      </c>
      <c r="I53" s="206">
        <f t="shared" si="2"/>
        <v>564.18908876700141</v>
      </c>
      <c r="J53" s="210">
        <f t="shared" si="20"/>
        <v>70523.636095875176</v>
      </c>
      <c r="K53" s="214">
        <f t="shared" si="21"/>
        <v>99800</v>
      </c>
      <c r="L53" s="213">
        <f t="shared" si="22"/>
        <v>-29276.363904124824</v>
      </c>
      <c r="M53" s="210">
        <f t="shared" si="7"/>
        <v>-1848.1158412830978</v>
      </c>
      <c r="N53" s="211">
        <f t="shared" si="8"/>
        <v>-31124.479745407923</v>
      </c>
      <c r="O53" s="210">
        <f t="shared" si="9"/>
        <v>0</v>
      </c>
      <c r="P53" s="210">
        <f t="shared" si="10"/>
        <v>0</v>
      </c>
      <c r="Q53" s="210">
        <v>0</v>
      </c>
      <c r="R53" s="211">
        <f t="shared" si="11"/>
        <v>-31124.479745407923</v>
      </c>
    </row>
    <row r="54" spans="1:18" x14ac:dyDescent="0.25">
      <c r="A54" s="163">
        <v>11</v>
      </c>
      <c r="B54" s="202">
        <f t="shared" si="17"/>
        <v>43770</v>
      </c>
      <c r="C54" s="226">
        <f t="shared" si="18"/>
        <v>43803</v>
      </c>
      <c r="D54" s="226">
        <f t="shared" si="18"/>
        <v>43818</v>
      </c>
      <c r="E54" s="212" t="s">
        <v>83</v>
      </c>
      <c r="F54" s="163">
        <v>9</v>
      </c>
      <c r="G54" s="205">
        <v>157</v>
      </c>
      <c r="H54" s="206">
        <f t="shared" si="12"/>
        <v>798.4</v>
      </c>
      <c r="I54" s="206">
        <f t="shared" si="2"/>
        <v>564.18908876700141</v>
      </c>
      <c r="J54" s="210">
        <f t="shared" si="20"/>
        <v>88577.686936419224</v>
      </c>
      <c r="K54" s="214">
        <f t="shared" si="21"/>
        <v>125348.8</v>
      </c>
      <c r="L54" s="213">
        <f t="shared" si="22"/>
        <v>-36771.113063580779</v>
      </c>
      <c r="M54" s="210">
        <f t="shared" si="7"/>
        <v>-2321.2334966515705</v>
      </c>
      <c r="N54" s="211">
        <f t="shared" si="8"/>
        <v>-39092.346560232349</v>
      </c>
      <c r="O54" s="210">
        <f t="shared" si="9"/>
        <v>0</v>
      </c>
      <c r="P54" s="210">
        <f t="shared" si="10"/>
        <v>0</v>
      </c>
      <c r="Q54" s="210">
        <v>0</v>
      </c>
      <c r="R54" s="211">
        <f t="shared" si="11"/>
        <v>-39092.346560232349</v>
      </c>
    </row>
    <row r="55" spans="1:18" x14ac:dyDescent="0.25">
      <c r="A55" s="163">
        <v>12</v>
      </c>
      <c r="B55" s="202">
        <f t="shared" si="17"/>
        <v>43800</v>
      </c>
      <c r="C55" s="226">
        <f t="shared" si="18"/>
        <v>43833</v>
      </c>
      <c r="D55" s="226">
        <f t="shared" si="18"/>
        <v>43850</v>
      </c>
      <c r="E55" s="212" t="s">
        <v>83</v>
      </c>
      <c r="F55" s="163">
        <v>9</v>
      </c>
      <c r="G55" s="217">
        <v>152</v>
      </c>
      <c r="H55" s="218">
        <f t="shared" si="12"/>
        <v>798.4</v>
      </c>
      <c r="I55" s="218">
        <f t="shared" si="2"/>
        <v>564.18908876700141</v>
      </c>
      <c r="J55" s="219">
        <f t="shared" si="20"/>
        <v>85756.741492584217</v>
      </c>
      <c r="K55" s="220">
        <f t="shared" si="21"/>
        <v>121356.8</v>
      </c>
      <c r="L55" s="221">
        <f t="shared" si="22"/>
        <v>-35600.058507415786</v>
      </c>
      <c r="M55" s="210">
        <f t="shared" si="7"/>
        <v>-2247.3088630002467</v>
      </c>
      <c r="N55" s="211">
        <f t="shared" si="8"/>
        <v>-37847.367370416032</v>
      </c>
      <c r="O55" s="210">
        <f t="shared" si="9"/>
        <v>0</v>
      </c>
      <c r="P55" s="210">
        <f t="shared" si="10"/>
        <v>0</v>
      </c>
      <c r="Q55" s="210">
        <v>0</v>
      </c>
      <c r="R55" s="211">
        <f t="shared" si="11"/>
        <v>-37847.367370416032</v>
      </c>
    </row>
    <row r="56" spans="1:18" s="227" customFormat="1" x14ac:dyDescent="0.25">
      <c r="A56" s="126">
        <v>1</v>
      </c>
      <c r="B56" s="222">
        <f t="shared" si="5"/>
        <v>43466</v>
      </c>
      <c r="C56" s="223">
        <f t="shared" ref="C56:D67" si="23">+C32</f>
        <v>43501</v>
      </c>
      <c r="D56" s="223">
        <f t="shared" si="23"/>
        <v>43516</v>
      </c>
      <c r="E56" s="224" t="s">
        <v>14</v>
      </c>
      <c r="F56" s="225">
        <v>9</v>
      </c>
      <c r="G56" s="251">
        <v>765</v>
      </c>
      <c r="H56" s="206">
        <f t="shared" ref="H56:H62" si="24">+$K$6</f>
        <v>904.88</v>
      </c>
      <c r="I56" s="206">
        <f t="shared" si="2"/>
        <v>564.18908876700141</v>
      </c>
      <c r="J56" s="207">
        <f>+$G56*I56</f>
        <v>431604.65290675609</v>
      </c>
      <c r="K56" s="208">
        <f t="shared" si="15"/>
        <v>692233.2</v>
      </c>
      <c r="L56" s="209">
        <f t="shared" si="16"/>
        <v>-260628.54709324386</v>
      </c>
      <c r="M56" s="210">
        <f t="shared" si="7"/>
        <v>-11310.468948652557</v>
      </c>
      <c r="N56" s="211">
        <f t="shared" si="8"/>
        <v>-271939.01604189642</v>
      </c>
      <c r="O56" s="210">
        <f t="shared" si="9"/>
        <v>0</v>
      </c>
      <c r="P56" s="210">
        <f t="shared" si="10"/>
        <v>0</v>
      </c>
      <c r="Q56" s="210">
        <v>0</v>
      </c>
      <c r="R56" s="211">
        <f t="shared" si="11"/>
        <v>-271939.01604189642</v>
      </c>
    </row>
    <row r="57" spans="1:18" x14ac:dyDescent="0.25">
      <c r="A57" s="163">
        <v>2</v>
      </c>
      <c r="B57" s="202">
        <f t="shared" si="5"/>
        <v>43497</v>
      </c>
      <c r="C57" s="226">
        <f t="shared" si="23"/>
        <v>43529</v>
      </c>
      <c r="D57" s="226">
        <f t="shared" si="23"/>
        <v>43544</v>
      </c>
      <c r="E57" s="212" t="s">
        <v>14</v>
      </c>
      <c r="F57" s="163">
        <v>9</v>
      </c>
      <c r="G57" s="251">
        <v>823</v>
      </c>
      <c r="H57" s="206">
        <f t="shared" si="24"/>
        <v>904.88</v>
      </c>
      <c r="I57" s="206">
        <f t="shared" si="2"/>
        <v>564.18908876700141</v>
      </c>
      <c r="J57" s="207">
        <f t="shared" si="3"/>
        <v>464327.62005524215</v>
      </c>
      <c r="K57" s="208">
        <f t="shared" si="15"/>
        <v>744716.24</v>
      </c>
      <c r="L57" s="209">
        <f t="shared" si="16"/>
        <v>-280388.61994475784</v>
      </c>
      <c r="M57" s="210">
        <f t="shared" si="7"/>
        <v>-12167.994699007915</v>
      </c>
      <c r="N57" s="211">
        <f t="shared" si="8"/>
        <v>-292556.61464376573</v>
      </c>
      <c r="O57" s="210">
        <f t="shared" si="9"/>
        <v>0</v>
      </c>
      <c r="P57" s="210">
        <f t="shared" si="10"/>
        <v>0</v>
      </c>
      <c r="Q57" s="210">
        <v>0</v>
      </c>
      <c r="R57" s="211">
        <f t="shared" si="11"/>
        <v>-292556.61464376573</v>
      </c>
    </row>
    <row r="58" spans="1:18" x14ac:dyDescent="0.25">
      <c r="A58" s="163">
        <v>3</v>
      </c>
      <c r="B58" s="202">
        <f t="shared" si="5"/>
        <v>43525</v>
      </c>
      <c r="C58" s="226">
        <f t="shared" si="23"/>
        <v>43558</v>
      </c>
      <c r="D58" s="226">
        <f t="shared" si="23"/>
        <v>43573</v>
      </c>
      <c r="E58" s="212" t="s">
        <v>14</v>
      </c>
      <c r="F58" s="163">
        <v>9</v>
      </c>
      <c r="G58" s="251">
        <v>810</v>
      </c>
      <c r="H58" s="206">
        <f t="shared" si="24"/>
        <v>904.88</v>
      </c>
      <c r="I58" s="206">
        <f t="shared" si="2"/>
        <v>564.18908876700141</v>
      </c>
      <c r="J58" s="207">
        <f t="shared" si="3"/>
        <v>456993.16190127115</v>
      </c>
      <c r="K58" s="208">
        <f t="shared" si="15"/>
        <v>732952.8</v>
      </c>
      <c r="L58" s="209">
        <f>+J58-K58</f>
        <v>-275959.6380987289</v>
      </c>
      <c r="M58" s="210">
        <f t="shared" si="7"/>
        <v>-11975.790651514473</v>
      </c>
      <c r="N58" s="211">
        <f t="shared" si="8"/>
        <v>-287935.42875024339</v>
      </c>
      <c r="O58" s="210">
        <f t="shared" si="9"/>
        <v>0</v>
      </c>
      <c r="P58" s="210">
        <f t="shared" si="10"/>
        <v>0</v>
      </c>
      <c r="Q58" s="210">
        <v>0</v>
      </c>
      <c r="R58" s="211">
        <f t="shared" si="11"/>
        <v>-287935.42875024339</v>
      </c>
    </row>
    <row r="59" spans="1:18" x14ac:dyDescent="0.25">
      <c r="A59" s="126">
        <v>4</v>
      </c>
      <c r="B59" s="202">
        <f t="shared" si="5"/>
        <v>43556</v>
      </c>
      <c r="C59" s="226">
        <f t="shared" si="23"/>
        <v>43588</v>
      </c>
      <c r="D59" s="226">
        <f t="shared" si="23"/>
        <v>43605</v>
      </c>
      <c r="E59" s="212" t="s">
        <v>14</v>
      </c>
      <c r="F59" s="163">
        <v>9</v>
      </c>
      <c r="G59" s="251">
        <v>488</v>
      </c>
      <c r="H59" s="206">
        <f t="shared" si="24"/>
        <v>904.88</v>
      </c>
      <c r="I59" s="206">
        <f t="shared" si="2"/>
        <v>564.18908876700141</v>
      </c>
      <c r="J59" s="207">
        <f t="shared" si="3"/>
        <v>275324.27531829668</v>
      </c>
      <c r="K59" s="208">
        <f t="shared" si="15"/>
        <v>441581.44</v>
      </c>
      <c r="L59" s="209">
        <f t="shared" ref="L59:L81" si="25">+J59-K59</f>
        <v>-166257.16468170332</v>
      </c>
      <c r="M59" s="210">
        <f t="shared" si="7"/>
        <v>-7215.0442443692127</v>
      </c>
      <c r="N59" s="211">
        <f t="shared" si="8"/>
        <v>-173472.20892607252</v>
      </c>
      <c r="O59" s="210">
        <f t="shared" si="9"/>
        <v>0</v>
      </c>
      <c r="P59" s="210">
        <f t="shared" si="10"/>
        <v>0</v>
      </c>
      <c r="Q59" s="210">
        <v>0</v>
      </c>
      <c r="R59" s="211">
        <f t="shared" si="11"/>
        <v>-173472.20892607252</v>
      </c>
    </row>
    <row r="60" spans="1:18" x14ac:dyDescent="0.25">
      <c r="A60" s="163">
        <v>5</v>
      </c>
      <c r="B60" s="202">
        <f t="shared" si="5"/>
        <v>43586</v>
      </c>
      <c r="C60" s="226">
        <f t="shared" si="23"/>
        <v>43621</v>
      </c>
      <c r="D60" s="226">
        <f t="shared" si="23"/>
        <v>43636</v>
      </c>
      <c r="E60" s="54" t="s">
        <v>14</v>
      </c>
      <c r="F60" s="163">
        <v>9</v>
      </c>
      <c r="G60" s="251">
        <v>697</v>
      </c>
      <c r="H60" s="206">
        <f t="shared" si="24"/>
        <v>904.88</v>
      </c>
      <c r="I60" s="206">
        <f t="shared" si="2"/>
        <v>564.18908876700141</v>
      </c>
      <c r="J60" s="207">
        <f t="shared" si="3"/>
        <v>393239.79487059999</v>
      </c>
      <c r="K60" s="208">
        <f t="shared" si="15"/>
        <v>630701.36</v>
      </c>
      <c r="L60" s="209">
        <f t="shared" si="25"/>
        <v>-237461.5651294</v>
      </c>
      <c r="M60" s="210">
        <f t="shared" si="7"/>
        <v>-10305.093930994552</v>
      </c>
      <c r="N60" s="211">
        <f t="shared" si="8"/>
        <v>-247766.65906039454</v>
      </c>
      <c r="O60" s="210">
        <f t="shared" si="9"/>
        <v>0</v>
      </c>
      <c r="P60" s="210">
        <f t="shared" si="10"/>
        <v>0</v>
      </c>
      <c r="Q60" s="210">
        <v>0</v>
      </c>
      <c r="R60" s="211">
        <f t="shared" si="11"/>
        <v>-247766.65906039454</v>
      </c>
    </row>
    <row r="61" spans="1:18" x14ac:dyDescent="0.25">
      <c r="A61" s="163">
        <v>6</v>
      </c>
      <c r="B61" s="202">
        <f t="shared" si="5"/>
        <v>43617</v>
      </c>
      <c r="C61" s="226">
        <f t="shared" si="23"/>
        <v>43649</v>
      </c>
      <c r="D61" s="226">
        <f t="shared" si="23"/>
        <v>43664</v>
      </c>
      <c r="E61" s="54" t="s">
        <v>14</v>
      </c>
      <c r="F61" s="163">
        <v>9</v>
      </c>
      <c r="G61" s="251">
        <v>805</v>
      </c>
      <c r="H61" s="206">
        <f t="shared" si="24"/>
        <v>904.88</v>
      </c>
      <c r="I61" s="206">
        <f t="shared" si="2"/>
        <v>564.18908876700141</v>
      </c>
      <c r="J61" s="207">
        <f t="shared" si="3"/>
        <v>454172.21645743615</v>
      </c>
      <c r="K61" s="208">
        <f t="shared" si="15"/>
        <v>728428.4</v>
      </c>
      <c r="L61" s="213">
        <f t="shared" si="25"/>
        <v>-274256.18354256387</v>
      </c>
      <c r="M61" s="210">
        <f t="shared" si="7"/>
        <v>-11901.866017863147</v>
      </c>
      <c r="N61" s="211">
        <f t="shared" si="8"/>
        <v>-286158.04956042703</v>
      </c>
      <c r="O61" s="210">
        <f t="shared" si="9"/>
        <v>0</v>
      </c>
      <c r="P61" s="210">
        <f t="shared" si="10"/>
        <v>0</v>
      </c>
      <c r="Q61" s="210">
        <v>0</v>
      </c>
      <c r="R61" s="211">
        <f t="shared" si="11"/>
        <v>-286158.04956042703</v>
      </c>
    </row>
    <row r="62" spans="1:18" x14ac:dyDescent="0.25">
      <c r="A62" s="126">
        <v>7</v>
      </c>
      <c r="B62" s="202">
        <f t="shared" si="5"/>
        <v>43647</v>
      </c>
      <c r="C62" s="226">
        <f t="shared" si="23"/>
        <v>43682</v>
      </c>
      <c r="D62" s="226">
        <f t="shared" si="23"/>
        <v>43697</v>
      </c>
      <c r="E62" s="54" t="s">
        <v>14</v>
      </c>
      <c r="F62" s="163">
        <v>9</v>
      </c>
      <c r="G62" s="251">
        <v>840</v>
      </c>
      <c r="H62" s="206">
        <f t="shared" si="24"/>
        <v>904.88</v>
      </c>
      <c r="I62" s="206">
        <f t="shared" si="2"/>
        <v>564.18908876700141</v>
      </c>
      <c r="J62" s="207">
        <f t="shared" si="3"/>
        <v>473918.83456428116</v>
      </c>
      <c r="K62" s="214">
        <f t="shared" si="15"/>
        <v>760099.2</v>
      </c>
      <c r="L62" s="213">
        <f t="shared" si="25"/>
        <v>-286180.36543571879</v>
      </c>
      <c r="M62" s="210">
        <f t="shared" si="7"/>
        <v>-12419.338453422415</v>
      </c>
      <c r="N62" s="211">
        <f t="shared" si="8"/>
        <v>-298599.70388914121</v>
      </c>
      <c r="O62" s="210">
        <f t="shared" si="9"/>
        <v>0</v>
      </c>
      <c r="P62" s="210">
        <f t="shared" si="10"/>
        <v>0</v>
      </c>
      <c r="Q62" s="210">
        <v>0</v>
      </c>
      <c r="R62" s="211">
        <f t="shared" si="11"/>
        <v>-298599.70388914121</v>
      </c>
    </row>
    <row r="63" spans="1:18" x14ac:dyDescent="0.25">
      <c r="A63" s="163">
        <v>8</v>
      </c>
      <c r="B63" s="202">
        <f t="shared" si="5"/>
        <v>43678</v>
      </c>
      <c r="C63" s="226">
        <f t="shared" si="23"/>
        <v>43712</v>
      </c>
      <c r="D63" s="226">
        <f t="shared" si="23"/>
        <v>43727</v>
      </c>
      <c r="E63" s="54" t="s">
        <v>14</v>
      </c>
      <c r="F63" s="163">
        <v>9</v>
      </c>
      <c r="G63" s="251">
        <v>890</v>
      </c>
      <c r="H63" s="206">
        <f t="shared" si="12"/>
        <v>798.4</v>
      </c>
      <c r="I63" s="206">
        <f t="shared" si="2"/>
        <v>564.18908876700141</v>
      </c>
      <c r="J63" s="207">
        <f t="shared" si="3"/>
        <v>502128.28900263127</v>
      </c>
      <c r="K63" s="214">
        <f t="shared" si="15"/>
        <v>710576</v>
      </c>
      <c r="L63" s="213">
        <f t="shared" si="25"/>
        <v>-208447.71099736873</v>
      </c>
      <c r="M63" s="210">
        <f t="shared" si="7"/>
        <v>-13158.584789935654</v>
      </c>
      <c r="N63" s="211">
        <f t="shared" si="8"/>
        <v>-221606.29578730438</v>
      </c>
      <c r="O63" s="210">
        <f t="shared" si="9"/>
        <v>0</v>
      </c>
      <c r="P63" s="210">
        <f t="shared" si="10"/>
        <v>0</v>
      </c>
      <c r="Q63" s="210">
        <v>0</v>
      </c>
      <c r="R63" s="211">
        <f t="shared" si="11"/>
        <v>-221606.29578730438</v>
      </c>
    </row>
    <row r="64" spans="1:18" x14ac:dyDescent="0.25">
      <c r="A64" s="163">
        <v>9</v>
      </c>
      <c r="B64" s="202">
        <f t="shared" si="5"/>
        <v>43709</v>
      </c>
      <c r="C64" s="226">
        <f t="shared" si="23"/>
        <v>43741</v>
      </c>
      <c r="D64" s="226">
        <f t="shared" si="23"/>
        <v>43756</v>
      </c>
      <c r="E64" s="54" t="s">
        <v>14</v>
      </c>
      <c r="F64" s="163">
        <v>9</v>
      </c>
      <c r="G64" s="251">
        <v>818</v>
      </c>
      <c r="H64" s="206">
        <f t="shared" si="12"/>
        <v>798.4</v>
      </c>
      <c r="I64" s="206">
        <f t="shared" ref="I64:I107" si="26">$J$3</f>
        <v>564.18908876700141</v>
      </c>
      <c r="J64" s="207">
        <f t="shared" si="3"/>
        <v>461506.67461140716</v>
      </c>
      <c r="K64" s="214">
        <f t="shared" si="15"/>
        <v>653091.19999999995</v>
      </c>
      <c r="L64" s="213">
        <f t="shared" si="25"/>
        <v>-191584.5253885928</v>
      </c>
      <c r="M64" s="210">
        <f t="shared" si="7"/>
        <v>-12094.070065356591</v>
      </c>
      <c r="N64" s="211">
        <f t="shared" si="8"/>
        <v>-203678.59545394938</v>
      </c>
      <c r="O64" s="210">
        <f t="shared" si="9"/>
        <v>0</v>
      </c>
      <c r="P64" s="210">
        <f t="shared" si="10"/>
        <v>0</v>
      </c>
      <c r="Q64" s="210">
        <v>0</v>
      </c>
      <c r="R64" s="211">
        <f t="shared" si="11"/>
        <v>-203678.59545394938</v>
      </c>
    </row>
    <row r="65" spans="1:18" x14ac:dyDescent="0.25">
      <c r="A65" s="126">
        <v>10</v>
      </c>
      <c r="B65" s="202">
        <f t="shared" si="5"/>
        <v>43739</v>
      </c>
      <c r="C65" s="226">
        <f t="shared" si="23"/>
        <v>43774</v>
      </c>
      <c r="D65" s="226">
        <f t="shared" si="23"/>
        <v>43789</v>
      </c>
      <c r="E65" s="54" t="s">
        <v>14</v>
      </c>
      <c r="F65" s="163">
        <v>9</v>
      </c>
      <c r="G65" s="251">
        <v>759</v>
      </c>
      <c r="H65" s="206">
        <f t="shared" si="12"/>
        <v>798.4</v>
      </c>
      <c r="I65" s="206">
        <f t="shared" si="26"/>
        <v>564.18908876700141</v>
      </c>
      <c r="J65" s="207">
        <f t="shared" si="3"/>
        <v>428219.51837415405</v>
      </c>
      <c r="K65" s="214">
        <f t="shared" si="15"/>
        <v>605985.6</v>
      </c>
      <c r="L65" s="213">
        <f t="shared" si="25"/>
        <v>-177766.08162584592</v>
      </c>
      <c r="M65" s="210">
        <f t="shared" si="7"/>
        <v>-11221.759388270968</v>
      </c>
      <c r="N65" s="211">
        <f t="shared" si="8"/>
        <v>-188987.84101411689</v>
      </c>
      <c r="O65" s="210">
        <f t="shared" si="9"/>
        <v>0</v>
      </c>
      <c r="P65" s="210">
        <f t="shared" si="10"/>
        <v>0</v>
      </c>
      <c r="Q65" s="210">
        <v>0</v>
      </c>
      <c r="R65" s="211">
        <f t="shared" si="11"/>
        <v>-188987.84101411689</v>
      </c>
    </row>
    <row r="66" spans="1:18" x14ac:dyDescent="0.25">
      <c r="A66" s="163">
        <v>11</v>
      </c>
      <c r="B66" s="202">
        <f t="shared" si="5"/>
        <v>43770</v>
      </c>
      <c r="C66" s="226">
        <f t="shared" si="23"/>
        <v>43803</v>
      </c>
      <c r="D66" s="226">
        <f t="shared" si="23"/>
        <v>43818</v>
      </c>
      <c r="E66" s="54" t="s">
        <v>14</v>
      </c>
      <c r="F66" s="163">
        <v>9</v>
      </c>
      <c r="G66" s="251">
        <v>740</v>
      </c>
      <c r="H66" s="206">
        <f t="shared" si="12"/>
        <v>798.4</v>
      </c>
      <c r="I66" s="206">
        <f t="shared" si="26"/>
        <v>564.18908876700141</v>
      </c>
      <c r="J66" s="207">
        <f t="shared" si="3"/>
        <v>417499.92568758107</v>
      </c>
      <c r="K66" s="214">
        <f t="shared" si="15"/>
        <v>590816</v>
      </c>
      <c r="L66" s="213">
        <f t="shared" si="25"/>
        <v>-173316.07431241893</v>
      </c>
      <c r="M66" s="210">
        <f t="shared" si="7"/>
        <v>-10940.845780395937</v>
      </c>
      <c r="N66" s="211">
        <f t="shared" si="8"/>
        <v>-184256.92009281486</v>
      </c>
      <c r="O66" s="210">
        <f t="shared" si="9"/>
        <v>0</v>
      </c>
      <c r="P66" s="210">
        <f t="shared" si="10"/>
        <v>0</v>
      </c>
      <c r="Q66" s="210">
        <v>0</v>
      </c>
      <c r="R66" s="211">
        <f t="shared" si="11"/>
        <v>-184256.92009281486</v>
      </c>
    </row>
    <row r="67" spans="1:18" s="230" customFormat="1" x14ac:dyDescent="0.25">
      <c r="A67" s="163">
        <v>12</v>
      </c>
      <c r="B67" s="228">
        <f t="shared" si="5"/>
        <v>43800</v>
      </c>
      <c r="C67" s="226">
        <f t="shared" si="23"/>
        <v>43833</v>
      </c>
      <c r="D67" s="226">
        <f t="shared" si="23"/>
        <v>43850</v>
      </c>
      <c r="E67" s="229" t="s">
        <v>14</v>
      </c>
      <c r="F67" s="174">
        <v>9</v>
      </c>
      <c r="G67" s="252">
        <v>752</v>
      </c>
      <c r="H67" s="218">
        <f t="shared" si="12"/>
        <v>798.4</v>
      </c>
      <c r="I67" s="218">
        <f t="shared" si="26"/>
        <v>564.18908876700141</v>
      </c>
      <c r="J67" s="219">
        <f t="shared" si="3"/>
        <v>424270.19475278509</v>
      </c>
      <c r="K67" s="220">
        <f t="shared" si="15"/>
        <v>600396.79999999993</v>
      </c>
      <c r="L67" s="221">
        <f t="shared" si="25"/>
        <v>-176126.60524721484</v>
      </c>
      <c r="M67" s="210">
        <f t="shared" si="7"/>
        <v>-11118.264901159115</v>
      </c>
      <c r="N67" s="211">
        <f t="shared" si="8"/>
        <v>-187244.87014837397</v>
      </c>
      <c r="O67" s="210">
        <f t="shared" si="9"/>
        <v>0</v>
      </c>
      <c r="P67" s="210">
        <f t="shared" si="10"/>
        <v>0</v>
      </c>
      <c r="Q67" s="210">
        <v>0</v>
      </c>
      <c r="R67" s="211">
        <f t="shared" si="11"/>
        <v>-187244.87014837397</v>
      </c>
    </row>
    <row r="68" spans="1:18" x14ac:dyDescent="0.25">
      <c r="A68" s="126">
        <v>1</v>
      </c>
      <c r="B68" s="202">
        <f t="shared" si="5"/>
        <v>43466</v>
      </c>
      <c r="C68" s="223">
        <f t="shared" ref="C68:D79" si="27">+C56</f>
        <v>43501</v>
      </c>
      <c r="D68" s="223">
        <f t="shared" si="27"/>
        <v>43516</v>
      </c>
      <c r="E68" s="204" t="s">
        <v>87</v>
      </c>
      <c r="F68" s="126">
        <v>9</v>
      </c>
      <c r="G68" s="205">
        <v>38</v>
      </c>
      <c r="H68" s="206">
        <f t="shared" ref="H68:H74" si="28">+$K$6</f>
        <v>904.88</v>
      </c>
      <c r="I68" s="206">
        <f t="shared" si="26"/>
        <v>564.18908876700141</v>
      </c>
      <c r="J68" s="207">
        <f t="shared" si="3"/>
        <v>21439.185373146054</v>
      </c>
      <c r="K68" s="208">
        <f t="shared" si="15"/>
        <v>34385.440000000002</v>
      </c>
      <c r="L68" s="209">
        <f t="shared" si="25"/>
        <v>-12946.254626853948</v>
      </c>
      <c r="M68" s="210">
        <f t="shared" si="7"/>
        <v>-561.82721575006167</v>
      </c>
      <c r="N68" s="211">
        <f t="shared" si="8"/>
        <v>-13508.08184260401</v>
      </c>
      <c r="O68" s="210">
        <f t="shared" si="9"/>
        <v>0</v>
      </c>
      <c r="P68" s="210">
        <f t="shared" si="10"/>
        <v>0</v>
      </c>
      <c r="Q68" s="210">
        <v>0</v>
      </c>
      <c r="R68" s="211">
        <f t="shared" si="11"/>
        <v>-13508.08184260401</v>
      </c>
    </row>
    <row r="69" spans="1:18" x14ac:dyDescent="0.25">
      <c r="A69" s="163">
        <v>2</v>
      </c>
      <c r="B69" s="202">
        <f t="shared" si="5"/>
        <v>43497</v>
      </c>
      <c r="C69" s="226">
        <f t="shared" si="27"/>
        <v>43529</v>
      </c>
      <c r="D69" s="226">
        <f t="shared" si="27"/>
        <v>43544</v>
      </c>
      <c r="E69" s="212" t="s">
        <v>87</v>
      </c>
      <c r="F69" s="163">
        <v>9</v>
      </c>
      <c r="G69" s="205">
        <v>43</v>
      </c>
      <c r="H69" s="206">
        <f t="shared" si="28"/>
        <v>904.88</v>
      </c>
      <c r="I69" s="206">
        <f t="shared" si="26"/>
        <v>564.18908876700141</v>
      </c>
      <c r="J69" s="207">
        <f t="shared" si="3"/>
        <v>24260.130816981062</v>
      </c>
      <c r="K69" s="208">
        <f t="shared" si="15"/>
        <v>38909.839999999997</v>
      </c>
      <c r="L69" s="209">
        <f t="shared" si="25"/>
        <v>-14649.709183018935</v>
      </c>
      <c r="M69" s="210">
        <f t="shared" si="7"/>
        <v>-635.75184940138558</v>
      </c>
      <c r="N69" s="211">
        <f t="shared" si="8"/>
        <v>-15285.46103242032</v>
      </c>
      <c r="O69" s="210">
        <f t="shared" si="9"/>
        <v>0</v>
      </c>
      <c r="P69" s="210">
        <f t="shared" si="10"/>
        <v>0</v>
      </c>
      <c r="Q69" s="210">
        <v>0</v>
      </c>
      <c r="R69" s="211">
        <f t="shared" si="11"/>
        <v>-15285.46103242032</v>
      </c>
    </row>
    <row r="70" spans="1:18" x14ac:dyDescent="0.25">
      <c r="A70" s="163">
        <v>3</v>
      </c>
      <c r="B70" s="202">
        <f t="shared" si="5"/>
        <v>43525</v>
      </c>
      <c r="C70" s="226">
        <f t="shared" si="27"/>
        <v>43558</v>
      </c>
      <c r="D70" s="226">
        <f t="shared" si="27"/>
        <v>43573</v>
      </c>
      <c r="E70" s="212" t="s">
        <v>87</v>
      </c>
      <c r="F70" s="163">
        <v>9</v>
      </c>
      <c r="G70" s="205">
        <v>45</v>
      </c>
      <c r="H70" s="206">
        <f t="shared" si="28"/>
        <v>904.88</v>
      </c>
      <c r="I70" s="206">
        <f t="shared" si="26"/>
        <v>564.18908876700141</v>
      </c>
      <c r="J70" s="207">
        <f t="shared" si="3"/>
        <v>25388.508994515065</v>
      </c>
      <c r="K70" s="208">
        <f t="shared" si="15"/>
        <v>40719.599999999999</v>
      </c>
      <c r="L70" s="209">
        <f>+J70-K70</f>
        <v>-15331.091005484934</v>
      </c>
      <c r="M70" s="210">
        <f t="shared" si="7"/>
        <v>-665.32170286191513</v>
      </c>
      <c r="N70" s="211">
        <f t="shared" si="8"/>
        <v>-15996.412708346848</v>
      </c>
      <c r="O70" s="210">
        <f t="shared" si="9"/>
        <v>0</v>
      </c>
      <c r="P70" s="210">
        <f t="shared" si="10"/>
        <v>0</v>
      </c>
      <c r="Q70" s="210">
        <v>0</v>
      </c>
      <c r="R70" s="211">
        <f t="shared" si="11"/>
        <v>-15996.412708346848</v>
      </c>
    </row>
    <row r="71" spans="1:18" x14ac:dyDescent="0.25">
      <c r="A71" s="126">
        <v>4</v>
      </c>
      <c r="B71" s="202">
        <f t="shared" si="5"/>
        <v>43556</v>
      </c>
      <c r="C71" s="226">
        <f t="shared" si="27"/>
        <v>43588</v>
      </c>
      <c r="D71" s="226">
        <f t="shared" si="27"/>
        <v>43605</v>
      </c>
      <c r="E71" s="212" t="s">
        <v>87</v>
      </c>
      <c r="F71" s="163">
        <v>9</v>
      </c>
      <c r="G71" s="205">
        <v>22</v>
      </c>
      <c r="H71" s="206">
        <f t="shared" si="28"/>
        <v>904.88</v>
      </c>
      <c r="I71" s="206">
        <f t="shared" si="26"/>
        <v>564.18908876700141</v>
      </c>
      <c r="J71" s="207">
        <f t="shared" si="3"/>
        <v>12412.159952874032</v>
      </c>
      <c r="K71" s="208">
        <f t="shared" si="15"/>
        <v>19907.36</v>
      </c>
      <c r="L71" s="209">
        <f t="shared" ref="L71:L79" si="29">+J71-K71</f>
        <v>-7495.2000471259689</v>
      </c>
      <c r="M71" s="210">
        <f t="shared" si="7"/>
        <v>-325.26838806582515</v>
      </c>
      <c r="N71" s="211">
        <f t="shared" si="8"/>
        <v>-7820.468435191794</v>
      </c>
      <c r="O71" s="210">
        <f t="shared" si="9"/>
        <v>0</v>
      </c>
      <c r="P71" s="210">
        <f t="shared" si="10"/>
        <v>0</v>
      </c>
      <c r="Q71" s="210">
        <v>0</v>
      </c>
      <c r="R71" s="211">
        <f t="shared" si="11"/>
        <v>-7820.468435191794</v>
      </c>
    </row>
    <row r="72" spans="1:18" x14ac:dyDescent="0.25">
      <c r="A72" s="163">
        <v>5</v>
      </c>
      <c r="B72" s="202">
        <f t="shared" si="5"/>
        <v>43586</v>
      </c>
      <c r="C72" s="226">
        <f t="shared" si="27"/>
        <v>43621</v>
      </c>
      <c r="D72" s="226">
        <f t="shared" si="27"/>
        <v>43636</v>
      </c>
      <c r="E72" s="212" t="s">
        <v>87</v>
      </c>
      <c r="F72" s="163">
        <v>9</v>
      </c>
      <c r="G72" s="205">
        <v>31</v>
      </c>
      <c r="H72" s="206">
        <f t="shared" si="28"/>
        <v>904.88</v>
      </c>
      <c r="I72" s="206">
        <f t="shared" si="26"/>
        <v>564.18908876700141</v>
      </c>
      <c r="J72" s="207">
        <f t="shared" si="3"/>
        <v>17489.861751777044</v>
      </c>
      <c r="K72" s="208">
        <f t="shared" si="15"/>
        <v>28051.279999999999</v>
      </c>
      <c r="L72" s="209">
        <f t="shared" si="29"/>
        <v>-10561.418248222955</v>
      </c>
      <c r="M72" s="210">
        <f t="shared" si="7"/>
        <v>-458.33272863820821</v>
      </c>
      <c r="N72" s="211">
        <f t="shared" si="8"/>
        <v>-11019.750976861164</v>
      </c>
      <c r="O72" s="210">
        <f t="shared" si="9"/>
        <v>0</v>
      </c>
      <c r="P72" s="210">
        <f t="shared" si="10"/>
        <v>0</v>
      </c>
      <c r="Q72" s="210">
        <v>0</v>
      </c>
      <c r="R72" s="211">
        <f t="shared" si="11"/>
        <v>-11019.750976861164</v>
      </c>
    </row>
    <row r="73" spans="1:18" x14ac:dyDescent="0.25">
      <c r="A73" s="163">
        <v>6</v>
      </c>
      <c r="B73" s="202">
        <f t="shared" si="5"/>
        <v>43617</v>
      </c>
      <c r="C73" s="226">
        <f t="shared" si="27"/>
        <v>43649</v>
      </c>
      <c r="D73" s="226">
        <f t="shared" si="27"/>
        <v>43664</v>
      </c>
      <c r="E73" s="212" t="s">
        <v>87</v>
      </c>
      <c r="F73" s="163">
        <v>9</v>
      </c>
      <c r="G73" s="205">
        <v>44</v>
      </c>
      <c r="H73" s="206">
        <f t="shared" si="28"/>
        <v>904.88</v>
      </c>
      <c r="I73" s="206">
        <f t="shared" si="26"/>
        <v>564.18908876700141</v>
      </c>
      <c r="J73" s="207">
        <f t="shared" si="3"/>
        <v>24824.319905748063</v>
      </c>
      <c r="K73" s="208">
        <f t="shared" si="15"/>
        <v>39814.720000000001</v>
      </c>
      <c r="L73" s="213">
        <f t="shared" si="29"/>
        <v>-14990.400094251938</v>
      </c>
      <c r="M73" s="210">
        <f t="shared" si="7"/>
        <v>-650.5367761316503</v>
      </c>
      <c r="N73" s="211">
        <f t="shared" si="8"/>
        <v>-15640.936870383588</v>
      </c>
      <c r="O73" s="210">
        <f t="shared" si="9"/>
        <v>0</v>
      </c>
      <c r="P73" s="210">
        <f t="shared" si="10"/>
        <v>0</v>
      </c>
      <c r="Q73" s="210">
        <v>0</v>
      </c>
      <c r="R73" s="211">
        <f t="shared" si="11"/>
        <v>-15640.936870383588</v>
      </c>
    </row>
    <row r="74" spans="1:18" x14ac:dyDescent="0.25">
      <c r="A74" s="126">
        <v>7</v>
      </c>
      <c r="B74" s="202">
        <f t="shared" si="5"/>
        <v>43647</v>
      </c>
      <c r="C74" s="226">
        <f t="shared" si="27"/>
        <v>43682</v>
      </c>
      <c r="D74" s="226">
        <f t="shared" si="27"/>
        <v>43697</v>
      </c>
      <c r="E74" s="212" t="s">
        <v>87</v>
      </c>
      <c r="F74" s="163">
        <v>9</v>
      </c>
      <c r="G74" s="205">
        <v>47</v>
      </c>
      <c r="H74" s="206">
        <f t="shared" si="28"/>
        <v>904.88</v>
      </c>
      <c r="I74" s="206">
        <f t="shared" si="26"/>
        <v>564.18908876700141</v>
      </c>
      <c r="J74" s="207">
        <f t="shared" si="3"/>
        <v>26516.887172049068</v>
      </c>
      <c r="K74" s="214">
        <f t="shared" si="15"/>
        <v>42529.36</v>
      </c>
      <c r="L74" s="213">
        <f t="shared" si="29"/>
        <v>-16012.472827950933</v>
      </c>
      <c r="M74" s="210">
        <f t="shared" si="7"/>
        <v>-694.89155632244467</v>
      </c>
      <c r="N74" s="211">
        <f t="shared" si="8"/>
        <v>-16707.364384273376</v>
      </c>
      <c r="O74" s="210">
        <f t="shared" si="9"/>
        <v>0</v>
      </c>
      <c r="P74" s="210">
        <f t="shared" si="10"/>
        <v>0</v>
      </c>
      <c r="Q74" s="210">
        <v>0</v>
      </c>
      <c r="R74" s="211">
        <f t="shared" si="11"/>
        <v>-16707.364384273376</v>
      </c>
    </row>
    <row r="75" spans="1:18" x14ac:dyDescent="0.25">
      <c r="A75" s="163">
        <v>8</v>
      </c>
      <c r="B75" s="202">
        <f t="shared" si="5"/>
        <v>43678</v>
      </c>
      <c r="C75" s="226">
        <f t="shared" si="27"/>
        <v>43712</v>
      </c>
      <c r="D75" s="226">
        <f t="shared" si="27"/>
        <v>43727</v>
      </c>
      <c r="E75" s="212" t="s">
        <v>87</v>
      </c>
      <c r="F75" s="163">
        <v>9</v>
      </c>
      <c r="G75" s="205">
        <v>50</v>
      </c>
      <c r="H75" s="206">
        <f t="shared" si="12"/>
        <v>798.4</v>
      </c>
      <c r="I75" s="206">
        <f t="shared" si="26"/>
        <v>564.18908876700141</v>
      </c>
      <c r="J75" s="207">
        <f t="shared" si="3"/>
        <v>28209.454438350069</v>
      </c>
      <c r="K75" s="214">
        <f t="shared" si="15"/>
        <v>39920</v>
      </c>
      <c r="L75" s="213">
        <f t="shared" si="29"/>
        <v>-11710.545561649931</v>
      </c>
      <c r="M75" s="210">
        <f t="shared" si="7"/>
        <v>-739.24633651323904</v>
      </c>
      <c r="N75" s="211">
        <f t="shared" si="8"/>
        <v>-12449.79189816317</v>
      </c>
      <c r="O75" s="210">
        <f t="shared" si="9"/>
        <v>0</v>
      </c>
      <c r="P75" s="210">
        <f t="shared" si="10"/>
        <v>0</v>
      </c>
      <c r="Q75" s="210">
        <v>0</v>
      </c>
      <c r="R75" s="211">
        <f t="shared" si="11"/>
        <v>-12449.79189816317</v>
      </c>
    </row>
    <row r="76" spans="1:18" x14ac:dyDescent="0.25">
      <c r="A76" s="163">
        <v>9</v>
      </c>
      <c r="B76" s="202">
        <f t="shared" si="5"/>
        <v>43709</v>
      </c>
      <c r="C76" s="226">
        <f t="shared" si="27"/>
        <v>43741</v>
      </c>
      <c r="D76" s="226">
        <f t="shared" si="27"/>
        <v>43756</v>
      </c>
      <c r="E76" s="212" t="s">
        <v>87</v>
      </c>
      <c r="F76" s="163">
        <v>9</v>
      </c>
      <c r="G76" s="205">
        <v>45</v>
      </c>
      <c r="H76" s="206">
        <f t="shared" si="12"/>
        <v>798.4</v>
      </c>
      <c r="I76" s="206">
        <f t="shared" si="26"/>
        <v>564.18908876700141</v>
      </c>
      <c r="J76" s="207">
        <f t="shared" si="3"/>
        <v>25388.508994515065</v>
      </c>
      <c r="K76" s="214">
        <f t="shared" si="15"/>
        <v>35928</v>
      </c>
      <c r="L76" s="213">
        <f t="shared" si="29"/>
        <v>-10539.491005484935</v>
      </c>
      <c r="M76" s="210">
        <f t="shared" si="7"/>
        <v>-665.32170286191513</v>
      </c>
      <c r="N76" s="211">
        <f t="shared" si="8"/>
        <v>-11204.81270834685</v>
      </c>
      <c r="O76" s="210">
        <f t="shared" si="9"/>
        <v>0</v>
      </c>
      <c r="P76" s="210">
        <f t="shared" si="10"/>
        <v>0</v>
      </c>
      <c r="Q76" s="210">
        <v>0</v>
      </c>
      <c r="R76" s="211">
        <f t="shared" si="11"/>
        <v>-11204.81270834685</v>
      </c>
    </row>
    <row r="77" spans="1:18" x14ac:dyDescent="0.25">
      <c r="A77" s="126">
        <v>10</v>
      </c>
      <c r="B77" s="202">
        <f t="shared" si="5"/>
        <v>43739</v>
      </c>
      <c r="C77" s="226">
        <f t="shared" si="27"/>
        <v>43774</v>
      </c>
      <c r="D77" s="226">
        <f t="shared" si="27"/>
        <v>43789</v>
      </c>
      <c r="E77" s="212" t="s">
        <v>87</v>
      </c>
      <c r="F77" s="163">
        <v>9</v>
      </c>
      <c r="G77" s="205">
        <v>37</v>
      </c>
      <c r="H77" s="206">
        <f t="shared" si="12"/>
        <v>798.4</v>
      </c>
      <c r="I77" s="206">
        <f t="shared" si="26"/>
        <v>564.18908876700141</v>
      </c>
      <c r="J77" s="207">
        <f t="shared" si="3"/>
        <v>20874.996284379053</v>
      </c>
      <c r="K77" s="214">
        <f t="shared" si="15"/>
        <v>29540.799999999999</v>
      </c>
      <c r="L77" s="213">
        <f t="shared" si="29"/>
        <v>-8665.8037156209466</v>
      </c>
      <c r="M77" s="210">
        <f t="shared" si="7"/>
        <v>-547.04228901979684</v>
      </c>
      <c r="N77" s="211">
        <f t="shared" si="8"/>
        <v>-9212.8460046407436</v>
      </c>
      <c r="O77" s="210">
        <f t="shared" si="9"/>
        <v>0</v>
      </c>
      <c r="P77" s="210">
        <f t="shared" si="10"/>
        <v>0</v>
      </c>
      <c r="Q77" s="210">
        <v>0</v>
      </c>
      <c r="R77" s="211">
        <f t="shared" si="11"/>
        <v>-9212.8460046407436</v>
      </c>
    </row>
    <row r="78" spans="1:18" x14ac:dyDescent="0.25">
      <c r="A78" s="163">
        <v>11</v>
      </c>
      <c r="B78" s="202">
        <f t="shared" si="5"/>
        <v>43770</v>
      </c>
      <c r="C78" s="226">
        <f t="shared" si="27"/>
        <v>43803</v>
      </c>
      <c r="D78" s="226">
        <f t="shared" si="27"/>
        <v>43818</v>
      </c>
      <c r="E78" s="212" t="s">
        <v>87</v>
      </c>
      <c r="F78" s="163">
        <v>9</v>
      </c>
      <c r="G78" s="205">
        <v>38</v>
      </c>
      <c r="H78" s="206">
        <f t="shared" si="12"/>
        <v>798.4</v>
      </c>
      <c r="I78" s="206">
        <f t="shared" si="26"/>
        <v>564.18908876700141</v>
      </c>
      <c r="J78" s="207">
        <f t="shared" si="3"/>
        <v>21439.185373146054</v>
      </c>
      <c r="K78" s="214">
        <f>+$G78*H78</f>
        <v>30339.200000000001</v>
      </c>
      <c r="L78" s="213">
        <f t="shared" si="29"/>
        <v>-8900.0146268539465</v>
      </c>
      <c r="M78" s="210">
        <f t="shared" si="7"/>
        <v>-561.82721575006167</v>
      </c>
      <c r="N78" s="211">
        <f t="shared" si="8"/>
        <v>-9461.841842604008</v>
      </c>
      <c r="O78" s="210">
        <f t="shared" si="9"/>
        <v>0</v>
      </c>
      <c r="P78" s="210">
        <f t="shared" si="10"/>
        <v>0</v>
      </c>
      <c r="Q78" s="210">
        <v>0</v>
      </c>
      <c r="R78" s="211">
        <f t="shared" si="11"/>
        <v>-9461.841842604008</v>
      </c>
    </row>
    <row r="79" spans="1:18" s="230" customFormat="1" x14ac:dyDescent="0.25">
      <c r="A79" s="163">
        <v>12</v>
      </c>
      <c r="B79" s="228">
        <f t="shared" si="5"/>
        <v>43800</v>
      </c>
      <c r="C79" s="231">
        <f t="shared" si="27"/>
        <v>43833</v>
      </c>
      <c r="D79" s="231">
        <f t="shared" si="27"/>
        <v>43850</v>
      </c>
      <c r="E79" s="232" t="s">
        <v>87</v>
      </c>
      <c r="F79" s="174">
        <v>9</v>
      </c>
      <c r="G79" s="217">
        <v>38</v>
      </c>
      <c r="H79" s="218">
        <f t="shared" si="12"/>
        <v>798.4</v>
      </c>
      <c r="I79" s="218">
        <f t="shared" si="26"/>
        <v>564.18908876700141</v>
      </c>
      <c r="J79" s="219">
        <f t="shared" si="3"/>
        <v>21439.185373146054</v>
      </c>
      <c r="K79" s="220">
        <f>+$G79*H79</f>
        <v>30339.200000000001</v>
      </c>
      <c r="L79" s="221">
        <f t="shared" si="29"/>
        <v>-8900.0146268539465</v>
      </c>
      <c r="M79" s="210">
        <f t="shared" si="7"/>
        <v>-561.82721575006167</v>
      </c>
      <c r="N79" s="211">
        <f t="shared" si="8"/>
        <v>-9461.841842604008</v>
      </c>
      <c r="O79" s="210">
        <f t="shared" si="9"/>
        <v>0</v>
      </c>
      <c r="P79" s="210">
        <f t="shared" si="10"/>
        <v>0</v>
      </c>
      <c r="Q79" s="210">
        <v>0</v>
      </c>
      <c r="R79" s="211">
        <f t="shared" si="11"/>
        <v>-9461.841842604008</v>
      </c>
    </row>
    <row r="80" spans="1:18" s="52" customFormat="1" ht="12.75" customHeight="1" x14ac:dyDescent="0.25">
      <c r="A80" s="126">
        <v>1</v>
      </c>
      <c r="B80" s="202">
        <f t="shared" si="5"/>
        <v>43466</v>
      </c>
      <c r="C80" s="223">
        <f t="shared" ref="C80:D91" si="30">+C56</f>
        <v>43501</v>
      </c>
      <c r="D80" s="223">
        <f t="shared" si="30"/>
        <v>43516</v>
      </c>
      <c r="E80" s="204" t="s">
        <v>9</v>
      </c>
      <c r="F80" s="126">
        <v>9</v>
      </c>
      <c r="G80" s="205">
        <v>40</v>
      </c>
      <c r="H80" s="206">
        <f t="shared" ref="H80:H86" si="31">+$K$6</f>
        <v>904.88</v>
      </c>
      <c r="I80" s="206">
        <f t="shared" si="26"/>
        <v>564.18908876700141</v>
      </c>
      <c r="J80" s="207">
        <f t="shared" si="3"/>
        <v>22567.563550680057</v>
      </c>
      <c r="K80" s="208">
        <f t="shared" si="15"/>
        <v>36195.199999999997</v>
      </c>
      <c r="L80" s="209">
        <f t="shared" si="25"/>
        <v>-13627.63644931994</v>
      </c>
      <c r="M80" s="210">
        <f t="shared" si="7"/>
        <v>-591.39706921059121</v>
      </c>
      <c r="N80" s="211">
        <f t="shared" si="8"/>
        <v>-14219.03351853053</v>
      </c>
      <c r="O80" s="210">
        <f t="shared" si="9"/>
        <v>0</v>
      </c>
      <c r="P80" s="210">
        <f t="shared" si="10"/>
        <v>0</v>
      </c>
      <c r="Q80" s="210">
        <v>0</v>
      </c>
      <c r="R80" s="211">
        <f t="shared" si="11"/>
        <v>-14219.03351853053</v>
      </c>
    </row>
    <row r="81" spans="1:18" x14ac:dyDescent="0.25">
      <c r="A81" s="163">
        <v>2</v>
      </c>
      <c r="B81" s="202">
        <f t="shared" si="5"/>
        <v>43497</v>
      </c>
      <c r="C81" s="226">
        <f t="shared" si="30"/>
        <v>43529</v>
      </c>
      <c r="D81" s="226">
        <f t="shared" si="30"/>
        <v>43544</v>
      </c>
      <c r="E81" s="212" t="s">
        <v>9</v>
      </c>
      <c r="F81" s="163">
        <v>9</v>
      </c>
      <c r="G81" s="205">
        <v>40</v>
      </c>
      <c r="H81" s="206">
        <f t="shared" si="31"/>
        <v>904.88</v>
      </c>
      <c r="I81" s="206">
        <f t="shared" si="26"/>
        <v>564.18908876700141</v>
      </c>
      <c r="J81" s="207">
        <f t="shared" si="3"/>
        <v>22567.563550680057</v>
      </c>
      <c r="K81" s="208">
        <f t="shared" si="15"/>
        <v>36195.199999999997</v>
      </c>
      <c r="L81" s="209">
        <f t="shared" si="25"/>
        <v>-13627.63644931994</v>
      </c>
      <c r="M81" s="210">
        <f t="shared" si="7"/>
        <v>-591.39706921059121</v>
      </c>
      <c r="N81" s="211">
        <f t="shared" si="8"/>
        <v>-14219.03351853053</v>
      </c>
      <c r="O81" s="210">
        <f t="shared" si="9"/>
        <v>0</v>
      </c>
      <c r="P81" s="210">
        <f t="shared" si="10"/>
        <v>0</v>
      </c>
      <c r="Q81" s="210">
        <v>0</v>
      </c>
      <c r="R81" s="211">
        <f t="shared" si="11"/>
        <v>-14219.03351853053</v>
      </c>
    </row>
    <row r="82" spans="1:18" x14ac:dyDescent="0.25">
      <c r="A82" s="163">
        <v>3</v>
      </c>
      <c r="B82" s="202">
        <f t="shared" si="5"/>
        <v>43525</v>
      </c>
      <c r="C82" s="226">
        <f t="shared" si="30"/>
        <v>43558</v>
      </c>
      <c r="D82" s="226">
        <f t="shared" si="30"/>
        <v>43573</v>
      </c>
      <c r="E82" s="212" t="s">
        <v>9</v>
      </c>
      <c r="F82" s="163">
        <v>9</v>
      </c>
      <c r="G82" s="205">
        <v>43</v>
      </c>
      <c r="H82" s="206">
        <f t="shared" si="31"/>
        <v>904.88</v>
      </c>
      <c r="I82" s="206">
        <f t="shared" si="26"/>
        <v>564.18908876700141</v>
      </c>
      <c r="J82" s="207">
        <f t="shared" si="3"/>
        <v>24260.130816981062</v>
      </c>
      <c r="K82" s="208">
        <f t="shared" si="15"/>
        <v>38909.839999999997</v>
      </c>
      <c r="L82" s="209">
        <f>+J82-K82</f>
        <v>-14649.709183018935</v>
      </c>
      <c r="M82" s="210">
        <f t="shared" si="7"/>
        <v>-635.75184940138558</v>
      </c>
      <c r="N82" s="211">
        <f t="shared" si="8"/>
        <v>-15285.46103242032</v>
      </c>
      <c r="O82" s="210">
        <f t="shared" si="9"/>
        <v>0</v>
      </c>
      <c r="P82" s="210">
        <f t="shared" si="10"/>
        <v>0</v>
      </c>
      <c r="Q82" s="210">
        <v>0</v>
      </c>
      <c r="R82" s="211">
        <f t="shared" si="11"/>
        <v>-15285.46103242032</v>
      </c>
    </row>
    <row r="83" spans="1:18" ht="12" customHeight="1" x14ac:dyDescent="0.25">
      <c r="A83" s="126">
        <v>4</v>
      </c>
      <c r="B83" s="202">
        <f t="shared" si="5"/>
        <v>43556</v>
      </c>
      <c r="C83" s="226">
        <f t="shared" si="30"/>
        <v>43588</v>
      </c>
      <c r="D83" s="226">
        <f t="shared" si="30"/>
        <v>43605</v>
      </c>
      <c r="E83" s="54" t="s">
        <v>9</v>
      </c>
      <c r="F83" s="163">
        <v>9</v>
      </c>
      <c r="G83" s="205">
        <v>27</v>
      </c>
      <c r="H83" s="206">
        <f t="shared" si="31"/>
        <v>904.88</v>
      </c>
      <c r="I83" s="206">
        <f t="shared" si="26"/>
        <v>564.18908876700141</v>
      </c>
      <c r="J83" s="207">
        <f t="shared" si="3"/>
        <v>15233.105396709037</v>
      </c>
      <c r="K83" s="208">
        <f t="shared" si="15"/>
        <v>24431.759999999998</v>
      </c>
      <c r="L83" s="209">
        <f t="shared" ref="L83:L93" si="32">+J83-K83</f>
        <v>-9198.6546032909609</v>
      </c>
      <c r="M83" s="210">
        <f t="shared" si="7"/>
        <v>-399.19302171714912</v>
      </c>
      <c r="N83" s="211">
        <f t="shared" si="8"/>
        <v>-9597.8476250081094</v>
      </c>
      <c r="O83" s="210">
        <f t="shared" si="9"/>
        <v>0</v>
      </c>
      <c r="P83" s="210">
        <f t="shared" si="10"/>
        <v>0</v>
      </c>
      <c r="Q83" s="210">
        <v>0</v>
      </c>
      <c r="R83" s="211">
        <f t="shared" si="11"/>
        <v>-9597.8476250081094</v>
      </c>
    </row>
    <row r="84" spans="1:18" ht="12" customHeight="1" x14ac:dyDescent="0.25">
      <c r="A84" s="163">
        <v>5</v>
      </c>
      <c r="B84" s="202">
        <f t="shared" si="5"/>
        <v>43586</v>
      </c>
      <c r="C84" s="226">
        <f t="shared" si="30"/>
        <v>43621</v>
      </c>
      <c r="D84" s="226">
        <f t="shared" si="30"/>
        <v>43636</v>
      </c>
      <c r="E84" s="54" t="s">
        <v>9</v>
      </c>
      <c r="F84" s="163">
        <v>9</v>
      </c>
      <c r="G84" s="205">
        <v>33</v>
      </c>
      <c r="H84" s="206">
        <f t="shared" si="31"/>
        <v>904.88</v>
      </c>
      <c r="I84" s="206">
        <f t="shared" si="26"/>
        <v>564.18908876700141</v>
      </c>
      <c r="J84" s="207">
        <f t="shared" si="3"/>
        <v>18618.239929311047</v>
      </c>
      <c r="K84" s="208">
        <f t="shared" si="15"/>
        <v>29861.040000000001</v>
      </c>
      <c r="L84" s="209">
        <f t="shared" si="32"/>
        <v>-11242.800070688954</v>
      </c>
      <c r="M84" s="210">
        <f t="shared" si="7"/>
        <v>-487.90258209873775</v>
      </c>
      <c r="N84" s="211">
        <f t="shared" si="8"/>
        <v>-11730.702652787691</v>
      </c>
      <c r="O84" s="210">
        <f t="shared" si="9"/>
        <v>0</v>
      </c>
      <c r="P84" s="210">
        <f t="shared" si="10"/>
        <v>0</v>
      </c>
      <c r="Q84" s="210">
        <v>0</v>
      </c>
      <c r="R84" s="211">
        <f t="shared" si="11"/>
        <v>-11730.702652787691</v>
      </c>
    </row>
    <row r="85" spans="1:18" x14ac:dyDescent="0.25">
      <c r="A85" s="163">
        <v>6</v>
      </c>
      <c r="B85" s="202">
        <f t="shared" si="5"/>
        <v>43617</v>
      </c>
      <c r="C85" s="226">
        <f t="shared" si="30"/>
        <v>43649</v>
      </c>
      <c r="D85" s="226">
        <f t="shared" si="30"/>
        <v>43664</v>
      </c>
      <c r="E85" s="54" t="s">
        <v>9</v>
      </c>
      <c r="F85" s="163">
        <v>9</v>
      </c>
      <c r="G85" s="205">
        <v>39</v>
      </c>
      <c r="H85" s="206">
        <f t="shared" si="31"/>
        <v>904.88</v>
      </c>
      <c r="I85" s="206">
        <f t="shared" si="26"/>
        <v>564.18908876700141</v>
      </c>
      <c r="J85" s="207">
        <f t="shared" si="3"/>
        <v>22003.374461913056</v>
      </c>
      <c r="K85" s="208">
        <f t="shared" si="15"/>
        <v>35290.32</v>
      </c>
      <c r="L85" s="213">
        <f t="shared" si="32"/>
        <v>-13286.945538086944</v>
      </c>
      <c r="M85" s="210">
        <f t="shared" ref="M85:M148" si="33">G85/$G$212*$M$14</f>
        <v>-576.6121424803265</v>
      </c>
      <c r="N85" s="211">
        <f t="shared" ref="N85:N148" si="34">SUM(L85:M85)</f>
        <v>-13863.55768056727</v>
      </c>
      <c r="O85" s="210">
        <f t="shared" ref="O85:O148" si="35">+$P$3</f>
        <v>0</v>
      </c>
      <c r="P85" s="210">
        <f t="shared" ref="P85:P148" si="36">+G85*O85</f>
        <v>0</v>
      </c>
      <c r="Q85" s="210">
        <v>0</v>
      </c>
      <c r="R85" s="211">
        <f t="shared" ref="R85:R148" si="37">+N85-Q85</f>
        <v>-13863.55768056727</v>
      </c>
    </row>
    <row r="86" spans="1:18" x14ac:dyDescent="0.25">
      <c r="A86" s="126">
        <v>7</v>
      </c>
      <c r="B86" s="202">
        <f t="shared" si="5"/>
        <v>43647</v>
      </c>
      <c r="C86" s="226">
        <f t="shared" si="30"/>
        <v>43682</v>
      </c>
      <c r="D86" s="226">
        <f t="shared" si="30"/>
        <v>43697</v>
      </c>
      <c r="E86" s="54" t="s">
        <v>9</v>
      </c>
      <c r="F86" s="163">
        <v>9</v>
      </c>
      <c r="G86" s="205">
        <v>39</v>
      </c>
      <c r="H86" s="206">
        <f t="shared" si="31"/>
        <v>904.88</v>
      </c>
      <c r="I86" s="206">
        <f t="shared" si="26"/>
        <v>564.18908876700141</v>
      </c>
      <c r="J86" s="207">
        <f t="shared" si="3"/>
        <v>22003.374461913056</v>
      </c>
      <c r="K86" s="214">
        <f t="shared" si="15"/>
        <v>35290.32</v>
      </c>
      <c r="L86" s="213">
        <f t="shared" si="32"/>
        <v>-13286.945538086944</v>
      </c>
      <c r="M86" s="210">
        <f t="shared" si="33"/>
        <v>-576.6121424803265</v>
      </c>
      <c r="N86" s="211">
        <f t="shared" si="34"/>
        <v>-13863.55768056727</v>
      </c>
      <c r="O86" s="210">
        <f t="shared" si="35"/>
        <v>0</v>
      </c>
      <c r="P86" s="210">
        <f t="shared" si="36"/>
        <v>0</v>
      </c>
      <c r="Q86" s="210">
        <v>0</v>
      </c>
      <c r="R86" s="211">
        <f t="shared" si="37"/>
        <v>-13863.55768056727</v>
      </c>
    </row>
    <row r="87" spans="1:18" x14ac:dyDescent="0.25">
      <c r="A87" s="163">
        <v>8</v>
      </c>
      <c r="B87" s="202">
        <f t="shared" si="5"/>
        <v>43678</v>
      </c>
      <c r="C87" s="226">
        <f t="shared" si="30"/>
        <v>43712</v>
      </c>
      <c r="D87" s="226">
        <f t="shared" si="30"/>
        <v>43727</v>
      </c>
      <c r="E87" s="54" t="s">
        <v>9</v>
      </c>
      <c r="F87" s="163">
        <v>9</v>
      </c>
      <c r="G87" s="205">
        <v>43</v>
      </c>
      <c r="H87" s="206">
        <f t="shared" ref="H87:H91" si="38">$K$3</f>
        <v>798.4</v>
      </c>
      <c r="I87" s="206">
        <f t="shared" si="26"/>
        <v>564.18908876700141</v>
      </c>
      <c r="J87" s="207">
        <f t="shared" si="3"/>
        <v>24260.130816981062</v>
      </c>
      <c r="K87" s="214">
        <f t="shared" si="15"/>
        <v>34331.199999999997</v>
      </c>
      <c r="L87" s="213">
        <f t="shared" si="32"/>
        <v>-10071.069183018935</v>
      </c>
      <c r="M87" s="210">
        <f t="shared" si="33"/>
        <v>-635.75184940138558</v>
      </c>
      <c r="N87" s="211">
        <f t="shared" si="34"/>
        <v>-10706.821032420321</v>
      </c>
      <c r="O87" s="210">
        <f t="shared" si="35"/>
        <v>0</v>
      </c>
      <c r="P87" s="210">
        <f t="shared" si="36"/>
        <v>0</v>
      </c>
      <c r="Q87" s="210">
        <v>0</v>
      </c>
      <c r="R87" s="211">
        <f t="shared" si="37"/>
        <v>-10706.821032420321</v>
      </c>
    </row>
    <row r="88" spans="1:18" x14ac:dyDescent="0.25">
      <c r="A88" s="163">
        <v>9</v>
      </c>
      <c r="B88" s="202">
        <f t="shared" si="5"/>
        <v>43709</v>
      </c>
      <c r="C88" s="226">
        <f t="shared" si="30"/>
        <v>43741</v>
      </c>
      <c r="D88" s="226">
        <f t="shared" si="30"/>
        <v>43756</v>
      </c>
      <c r="E88" s="54" t="s">
        <v>9</v>
      </c>
      <c r="F88" s="163">
        <v>9</v>
      </c>
      <c r="G88" s="205">
        <v>40</v>
      </c>
      <c r="H88" s="206">
        <f t="shared" si="38"/>
        <v>798.4</v>
      </c>
      <c r="I88" s="206">
        <f t="shared" si="26"/>
        <v>564.18908876700141</v>
      </c>
      <c r="J88" s="207">
        <f t="shared" si="3"/>
        <v>22567.563550680057</v>
      </c>
      <c r="K88" s="214">
        <f t="shared" si="15"/>
        <v>31936</v>
      </c>
      <c r="L88" s="213">
        <f t="shared" si="32"/>
        <v>-9368.4364493199428</v>
      </c>
      <c r="M88" s="210">
        <f t="shared" si="33"/>
        <v>-591.39706921059121</v>
      </c>
      <c r="N88" s="211">
        <f t="shared" si="34"/>
        <v>-9959.8335185305332</v>
      </c>
      <c r="O88" s="210">
        <f t="shared" si="35"/>
        <v>0</v>
      </c>
      <c r="P88" s="210">
        <f t="shared" si="36"/>
        <v>0</v>
      </c>
      <c r="Q88" s="210">
        <v>0</v>
      </c>
      <c r="R88" s="211">
        <f t="shared" si="37"/>
        <v>-9959.8335185305332</v>
      </c>
    </row>
    <row r="89" spans="1:18" x14ac:dyDescent="0.25">
      <c r="A89" s="126">
        <v>10</v>
      </c>
      <c r="B89" s="202">
        <f t="shared" si="5"/>
        <v>43739</v>
      </c>
      <c r="C89" s="226">
        <f t="shared" si="30"/>
        <v>43774</v>
      </c>
      <c r="D89" s="226">
        <f t="shared" si="30"/>
        <v>43789</v>
      </c>
      <c r="E89" s="54" t="s">
        <v>9</v>
      </c>
      <c r="F89" s="163">
        <v>9</v>
      </c>
      <c r="G89" s="205">
        <v>30</v>
      </c>
      <c r="H89" s="206">
        <f t="shared" si="38"/>
        <v>798.4</v>
      </c>
      <c r="I89" s="206">
        <f t="shared" si="26"/>
        <v>564.18908876700141</v>
      </c>
      <c r="J89" s="207">
        <f t="shared" si="3"/>
        <v>16925.672663010042</v>
      </c>
      <c r="K89" s="214">
        <f t="shared" si="15"/>
        <v>23952</v>
      </c>
      <c r="L89" s="213">
        <f t="shared" si="32"/>
        <v>-7026.327336989958</v>
      </c>
      <c r="M89" s="210">
        <f t="shared" si="33"/>
        <v>-443.54780190794344</v>
      </c>
      <c r="N89" s="211">
        <f t="shared" si="34"/>
        <v>-7469.8751388979017</v>
      </c>
      <c r="O89" s="210">
        <f t="shared" si="35"/>
        <v>0</v>
      </c>
      <c r="P89" s="210">
        <f t="shared" si="36"/>
        <v>0</v>
      </c>
      <c r="Q89" s="210">
        <v>0</v>
      </c>
      <c r="R89" s="211">
        <f t="shared" si="37"/>
        <v>-7469.8751388979017</v>
      </c>
    </row>
    <row r="90" spans="1:18" x14ac:dyDescent="0.25">
      <c r="A90" s="163">
        <v>11</v>
      </c>
      <c r="B90" s="202">
        <f t="shared" si="5"/>
        <v>43770</v>
      </c>
      <c r="C90" s="226">
        <f t="shared" si="30"/>
        <v>43803</v>
      </c>
      <c r="D90" s="226">
        <f t="shared" si="30"/>
        <v>43818</v>
      </c>
      <c r="E90" s="54" t="s">
        <v>9</v>
      </c>
      <c r="F90" s="163">
        <v>9</v>
      </c>
      <c r="G90" s="205">
        <v>37</v>
      </c>
      <c r="H90" s="206">
        <f t="shared" si="38"/>
        <v>798.4</v>
      </c>
      <c r="I90" s="206">
        <f t="shared" si="26"/>
        <v>564.18908876700141</v>
      </c>
      <c r="J90" s="207">
        <f t="shared" si="3"/>
        <v>20874.996284379053</v>
      </c>
      <c r="K90" s="214">
        <f t="shared" si="15"/>
        <v>29540.799999999999</v>
      </c>
      <c r="L90" s="213">
        <f t="shared" si="32"/>
        <v>-8665.8037156209466</v>
      </c>
      <c r="M90" s="210">
        <f t="shared" si="33"/>
        <v>-547.04228901979684</v>
      </c>
      <c r="N90" s="211">
        <f t="shared" si="34"/>
        <v>-9212.8460046407436</v>
      </c>
      <c r="O90" s="210">
        <f t="shared" si="35"/>
        <v>0</v>
      </c>
      <c r="P90" s="210">
        <f t="shared" si="36"/>
        <v>0</v>
      </c>
      <c r="Q90" s="210">
        <v>0</v>
      </c>
      <c r="R90" s="211">
        <f t="shared" si="37"/>
        <v>-9212.8460046407436</v>
      </c>
    </row>
    <row r="91" spans="1:18" s="230" customFormat="1" x14ac:dyDescent="0.25">
      <c r="A91" s="163">
        <v>12</v>
      </c>
      <c r="B91" s="228">
        <f t="shared" si="5"/>
        <v>43800</v>
      </c>
      <c r="C91" s="226">
        <f t="shared" si="30"/>
        <v>43833</v>
      </c>
      <c r="D91" s="226">
        <f t="shared" si="30"/>
        <v>43850</v>
      </c>
      <c r="E91" s="229" t="s">
        <v>9</v>
      </c>
      <c r="F91" s="174">
        <v>9</v>
      </c>
      <c r="G91" s="217">
        <v>41</v>
      </c>
      <c r="H91" s="218">
        <f t="shared" si="38"/>
        <v>798.4</v>
      </c>
      <c r="I91" s="218">
        <f t="shared" si="26"/>
        <v>564.18908876700141</v>
      </c>
      <c r="J91" s="219">
        <f t="shared" si="3"/>
        <v>23131.752639447059</v>
      </c>
      <c r="K91" s="220">
        <f t="shared" si="15"/>
        <v>32734.399999999998</v>
      </c>
      <c r="L91" s="221">
        <f t="shared" si="32"/>
        <v>-9602.6473605529391</v>
      </c>
      <c r="M91" s="210">
        <f t="shared" si="33"/>
        <v>-606.18199594085604</v>
      </c>
      <c r="N91" s="211">
        <f t="shared" si="34"/>
        <v>-10208.829356493796</v>
      </c>
      <c r="O91" s="210">
        <f t="shared" si="35"/>
        <v>0</v>
      </c>
      <c r="P91" s="210">
        <f t="shared" si="36"/>
        <v>0</v>
      </c>
      <c r="Q91" s="210">
        <v>0</v>
      </c>
      <c r="R91" s="211">
        <f t="shared" si="37"/>
        <v>-10208.829356493796</v>
      </c>
    </row>
    <row r="92" spans="1:18" x14ac:dyDescent="0.25">
      <c r="A92" s="126">
        <v>1</v>
      </c>
      <c r="B92" s="202">
        <f t="shared" si="5"/>
        <v>43466</v>
      </c>
      <c r="C92" s="223">
        <f t="shared" ref="C92:D95" si="39">+C80</f>
        <v>43501</v>
      </c>
      <c r="D92" s="223">
        <f t="shared" si="39"/>
        <v>43516</v>
      </c>
      <c r="E92" s="204" t="s">
        <v>8</v>
      </c>
      <c r="F92" s="126">
        <v>9</v>
      </c>
      <c r="G92" s="205">
        <v>76</v>
      </c>
      <c r="H92" s="206">
        <f t="shared" ref="H92:H98" si="40">+$K$6</f>
        <v>904.88</v>
      </c>
      <c r="I92" s="206">
        <f t="shared" si="26"/>
        <v>564.18908876700141</v>
      </c>
      <c r="J92" s="207">
        <f t="shared" si="3"/>
        <v>42878.370746292108</v>
      </c>
      <c r="K92" s="208">
        <f t="shared" si="15"/>
        <v>68770.880000000005</v>
      </c>
      <c r="L92" s="209">
        <f t="shared" si="32"/>
        <v>-25892.509253707896</v>
      </c>
      <c r="M92" s="210">
        <f t="shared" si="33"/>
        <v>-1123.6544315001233</v>
      </c>
      <c r="N92" s="211">
        <f t="shared" si="34"/>
        <v>-27016.163685208019</v>
      </c>
      <c r="O92" s="210">
        <f t="shared" si="35"/>
        <v>0</v>
      </c>
      <c r="P92" s="210">
        <f t="shared" si="36"/>
        <v>0</v>
      </c>
      <c r="Q92" s="210">
        <v>0</v>
      </c>
      <c r="R92" s="211">
        <f t="shared" si="37"/>
        <v>-27016.163685208019</v>
      </c>
    </row>
    <row r="93" spans="1:18" x14ac:dyDescent="0.25">
      <c r="A93" s="163">
        <v>2</v>
      </c>
      <c r="B93" s="202">
        <f t="shared" si="5"/>
        <v>43497</v>
      </c>
      <c r="C93" s="226">
        <f t="shared" si="39"/>
        <v>43529</v>
      </c>
      <c r="D93" s="226">
        <f t="shared" si="39"/>
        <v>43544</v>
      </c>
      <c r="E93" s="212" t="s">
        <v>8</v>
      </c>
      <c r="F93" s="163">
        <v>9</v>
      </c>
      <c r="G93" s="205">
        <v>85</v>
      </c>
      <c r="H93" s="206">
        <f t="shared" si="40"/>
        <v>904.88</v>
      </c>
      <c r="I93" s="206">
        <f t="shared" si="26"/>
        <v>564.18908876700141</v>
      </c>
      <c r="J93" s="207">
        <f t="shared" si="3"/>
        <v>47956.072545195122</v>
      </c>
      <c r="K93" s="208">
        <f t="shared" si="15"/>
        <v>76914.8</v>
      </c>
      <c r="L93" s="209">
        <f t="shared" si="32"/>
        <v>-28958.727454804881</v>
      </c>
      <c r="M93" s="210">
        <f t="shared" si="33"/>
        <v>-1256.7187720725065</v>
      </c>
      <c r="N93" s="211">
        <f t="shared" si="34"/>
        <v>-30215.446226877386</v>
      </c>
      <c r="O93" s="210">
        <f t="shared" si="35"/>
        <v>0</v>
      </c>
      <c r="P93" s="210">
        <f t="shared" si="36"/>
        <v>0</v>
      </c>
      <c r="Q93" s="210">
        <v>0</v>
      </c>
      <c r="R93" s="211">
        <f t="shared" si="37"/>
        <v>-30215.446226877386</v>
      </c>
    </row>
    <row r="94" spans="1:18" x14ac:dyDescent="0.25">
      <c r="A94" s="163">
        <v>3</v>
      </c>
      <c r="B94" s="202">
        <f t="shared" si="5"/>
        <v>43525</v>
      </c>
      <c r="C94" s="226">
        <f t="shared" si="39"/>
        <v>43558</v>
      </c>
      <c r="D94" s="226">
        <f t="shared" si="39"/>
        <v>43573</v>
      </c>
      <c r="E94" s="212" t="s">
        <v>8</v>
      </c>
      <c r="F94" s="163">
        <v>9</v>
      </c>
      <c r="G94" s="205">
        <v>86</v>
      </c>
      <c r="H94" s="206">
        <f t="shared" si="40"/>
        <v>904.88</v>
      </c>
      <c r="I94" s="206">
        <f t="shared" si="26"/>
        <v>564.18908876700141</v>
      </c>
      <c r="J94" s="207">
        <f t="shared" si="3"/>
        <v>48520.261633962124</v>
      </c>
      <c r="K94" s="208">
        <f t="shared" ref="K94:K133" si="41">+$G94*H94</f>
        <v>77819.679999999993</v>
      </c>
      <c r="L94" s="209">
        <f>+J94-K94</f>
        <v>-29299.418366037869</v>
      </c>
      <c r="M94" s="210">
        <f t="shared" si="33"/>
        <v>-1271.5036988027712</v>
      </c>
      <c r="N94" s="211">
        <f t="shared" si="34"/>
        <v>-30570.922064840641</v>
      </c>
      <c r="O94" s="210">
        <f t="shared" si="35"/>
        <v>0</v>
      </c>
      <c r="P94" s="210">
        <f t="shared" si="36"/>
        <v>0</v>
      </c>
      <c r="Q94" s="210">
        <v>0</v>
      </c>
      <c r="R94" s="211">
        <f t="shared" si="37"/>
        <v>-30570.922064840641</v>
      </c>
    </row>
    <row r="95" spans="1:18" x14ac:dyDescent="0.25">
      <c r="A95" s="126">
        <v>4</v>
      </c>
      <c r="B95" s="202">
        <f t="shared" si="5"/>
        <v>43556</v>
      </c>
      <c r="C95" s="226">
        <f t="shared" si="39"/>
        <v>43588</v>
      </c>
      <c r="D95" s="226">
        <f t="shared" si="39"/>
        <v>43605</v>
      </c>
      <c r="E95" s="212" t="s">
        <v>8</v>
      </c>
      <c r="F95" s="163">
        <v>9</v>
      </c>
      <c r="G95" s="205">
        <v>78</v>
      </c>
      <c r="H95" s="206">
        <f t="shared" si="40"/>
        <v>904.88</v>
      </c>
      <c r="I95" s="206">
        <f t="shared" si="26"/>
        <v>564.18908876700141</v>
      </c>
      <c r="J95" s="207">
        <f t="shared" si="3"/>
        <v>44006.748923826111</v>
      </c>
      <c r="K95" s="208">
        <f t="shared" si="41"/>
        <v>70580.639999999999</v>
      </c>
      <c r="L95" s="209">
        <f t="shared" ref="L95:L105" si="42">+J95-K95</f>
        <v>-26573.891076173888</v>
      </c>
      <c r="M95" s="210">
        <f t="shared" si="33"/>
        <v>-1153.224284960653</v>
      </c>
      <c r="N95" s="211">
        <f t="shared" si="34"/>
        <v>-27727.11536113454</v>
      </c>
      <c r="O95" s="210">
        <f t="shared" si="35"/>
        <v>0</v>
      </c>
      <c r="P95" s="210">
        <f t="shared" si="36"/>
        <v>0</v>
      </c>
      <c r="Q95" s="210">
        <v>0</v>
      </c>
      <c r="R95" s="211">
        <f t="shared" si="37"/>
        <v>-27727.11536113454</v>
      </c>
    </row>
    <row r="96" spans="1:18" x14ac:dyDescent="0.25">
      <c r="A96" s="163">
        <v>5</v>
      </c>
      <c r="B96" s="202">
        <f t="shared" si="5"/>
        <v>43586</v>
      </c>
      <c r="C96" s="226">
        <f t="shared" ref="C96:D116" si="43">+C84</f>
        <v>43621</v>
      </c>
      <c r="D96" s="226">
        <f t="shared" si="43"/>
        <v>43636</v>
      </c>
      <c r="E96" s="54" t="s">
        <v>8</v>
      </c>
      <c r="F96" s="163">
        <v>9</v>
      </c>
      <c r="G96" s="205">
        <v>92</v>
      </c>
      <c r="H96" s="206">
        <f t="shared" si="40"/>
        <v>904.88</v>
      </c>
      <c r="I96" s="206">
        <f t="shared" si="26"/>
        <v>564.18908876700141</v>
      </c>
      <c r="J96" s="207">
        <f t="shared" si="3"/>
        <v>51905.396166564133</v>
      </c>
      <c r="K96" s="208">
        <f t="shared" si="41"/>
        <v>83248.960000000006</v>
      </c>
      <c r="L96" s="209">
        <f t="shared" si="42"/>
        <v>-31343.563833435874</v>
      </c>
      <c r="M96" s="210">
        <f t="shared" si="33"/>
        <v>-1360.2132591843597</v>
      </c>
      <c r="N96" s="211">
        <f t="shared" si="34"/>
        <v>-32703.777092620232</v>
      </c>
      <c r="O96" s="210">
        <f t="shared" si="35"/>
        <v>0</v>
      </c>
      <c r="P96" s="210">
        <f t="shared" si="36"/>
        <v>0</v>
      </c>
      <c r="Q96" s="210">
        <v>0</v>
      </c>
      <c r="R96" s="211">
        <f t="shared" si="37"/>
        <v>-32703.777092620232</v>
      </c>
    </row>
    <row r="97" spans="1:18" x14ac:dyDescent="0.25">
      <c r="A97" s="163">
        <v>6</v>
      </c>
      <c r="B97" s="202">
        <f t="shared" si="5"/>
        <v>43617</v>
      </c>
      <c r="C97" s="226">
        <f t="shared" si="43"/>
        <v>43649</v>
      </c>
      <c r="D97" s="226">
        <f t="shared" si="43"/>
        <v>43664</v>
      </c>
      <c r="E97" s="54" t="s">
        <v>8</v>
      </c>
      <c r="F97" s="163">
        <v>9</v>
      </c>
      <c r="G97" s="205">
        <v>138</v>
      </c>
      <c r="H97" s="206">
        <f t="shared" si="40"/>
        <v>904.88</v>
      </c>
      <c r="I97" s="206">
        <f t="shared" si="26"/>
        <v>564.18908876700141</v>
      </c>
      <c r="J97" s="207">
        <f t="shared" si="3"/>
        <v>77858.094249846195</v>
      </c>
      <c r="K97" s="208">
        <f t="shared" si="41"/>
        <v>124873.44</v>
      </c>
      <c r="L97" s="213">
        <f t="shared" si="42"/>
        <v>-47015.345750153807</v>
      </c>
      <c r="M97" s="210">
        <f t="shared" si="33"/>
        <v>-2040.3198887765395</v>
      </c>
      <c r="N97" s="211">
        <f t="shared" si="34"/>
        <v>-49055.665638930346</v>
      </c>
      <c r="O97" s="210">
        <f t="shared" si="35"/>
        <v>0</v>
      </c>
      <c r="P97" s="210">
        <f t="shared" si="36"/>
        <v>0</v>
      </c>
      <c r="Q97" s="210">
        <v>0</v>
      </c>
      <c r="R97" s="211">
        <f t="shared" si="37"/>
        <v>-49055.665638930346</v>
      </c>
    </row>
    <row r="98" spans="1:18" x14ac:dyDescent="0.25">
      <c r="A98" s="126">
        <v>7</v>
      </c>
      <c r="B98" s="202">
        <f t="shared" si="5"/>
        <v>43647</v>
      </c>
      <c r="C98" s="226">
        <f t="shared" si="43"/>
        <v>43682</v>
      </c>
      <c r="D98" s="226">
        <f t="shared" si="43"/>
        <v>43697</v>
      </c>
      <c r="E98" s="54" t="s">
        <v>8</v>
      </c>
      <c r="F98" s="163">
        <v>9</v>
      </c>
      <c r="G98" s="205">
        <v>147</v>
      </c>
      <c r="H98" s="206">
        <f t="shared" si="40"/>
        <v>904.88</v>
      </c>
      <c r="I98" s="206">
        <f t="shared" si="26"/>
        <v>564.18908876700141</v>
      </c>
      <c r="J98" s="207">
        <f t="shared" si="3"/>
        <v>82935.796048749209</v>
      </c>
      <c r="K98" s="214">
        <f t="shared" si="41"/>
        <v>133017.35999999999</v>
      </c>
      <c r="L98" s="213">
        <f t="shared" si="42"/>
        <v>-50081.563951250777</v>
      </c>
      <c r="M98" s="210">
        <f t="shared" si="33"/>
        <v>-2173.3842293489229</v>
      </c>
      <c r="N98" s="211">
        <f t="shared" si="34"/>
        <v>-52254.948180599698</v>
      </c>
      <c r="O98" s="210">
        <f t="shared" si="35"/>
        <v>0</v>
      </c>
      <c r="P98" s="210">
        <f t="shared" si="36"/>
        <v>0</v>
      </c>
      <c r="Q98" s="210">
        <v>0</v>
      </c>
      <c r="R98" s="211">
        <f t="shared" si="37"/>
        <v>-52254.948180599698</v>
      </c>
    </row>
    <row r="99" spans="1:18" x14ac:dyDescent="0.25">
      <c r="A99" s="163">
        <v>8</v>
      </c>
      <c r="B99" s="202">
        <f t="shared" si="5"/>
        <v>43678</v>
      </c>
      <c r="C99" s="226">
        <f t="shared" si="43"/>
        <v>43712</v>
      </c>
      <c r="D99" s="226">
        <f t="shared" si="43"/>
        <v>43727</v>
      </c>
      <c r="E99" s="54" t="s">
        <v>8</v>
      </c>
      <c r="F99" s="163">
        <v>9</v>
      </c>
      <c r="G99" s="205">
        <v>156</v>
      </c>
      <c r="H99" s="206">
        <f t="shared" ref="H99:H103" si="44">$K$3</f>
        <v>798.4</v>
      </c>
      <c r="I99" s="206">
        <f t="shared" si="26"/>
        <v>564.18908876700141</v>
      </c>
      <c r="J99" s="207">
        <f t="shared" si="3"/>
        <v>88013.497847652223</v>
      </c>
      <c r="K99" s="214">
        <f t="shared" si="41"/>
        <v>124550.39999999999</v>
      </c>
      <c r="L99" s="213">
        <f t="shared" si="42"/>
        <v>-36536.902152347771</v>
      </c>
      <c r="M99" s="210">
        <f t="shared" si="33"/>
        <v>-2306.448569921306</v>
      </c>
      <c r="N99" s="211">
        <f t="shared" si="34"/>
        <v>-38843.350722269075</v>
      </c>
      <c r="O99" s="210">
        <f t="shared" si="35"/>
        <v>0</v>
      </c>
      <c r="P99" s="210">
        <f t="shared" si="36"/>
        <v>0</v>
      </c>
      <c r="Q99" s="210">
        <v>0</v>
      </c>
      <c r="R99" s="211">
        <f t="shared" si="37"/>
        <v>-38843.350722269075</v>
      </c>
    </row>
    <row r="100" spans="1:18" x14ac:dyDescent="0.25">
      <c r="A100" s="163">
        <v>9</v>
      </c>
      <c r="B100" s="202">
        <f t="shared" si="5"/>
        <v>43709</v>
      </c>
      <c r="C100" s="226">
        <f t="shared" si="43"/>
        <v>43741</v>
      </c>
      <c r="D100" s="226">
        <f t="shared" si="43"/>
        <v>43756</v>
      </c>
      <c r="E100" s="54" t="s">
        <v>8</v>
      </c>
      <c r="F100" s="163">
        <v>9</v>
      </c>
      <c r="G100" s="205">
        <v>140</v>
      </c>
      <c r="H100" s="206">
        <f t="shared" si="44"/>
        <v>798.4</v>
      </c>
      <c r="I100" s="206">
        <f t="shared" si="26"/>
        <v>564.18908876700141</v>
      </c>
      <c r="J100" s="207">
        <f t="shared" si="3"/>
        <v>78986.472427380198</v>
      </c>
      <c r="K100" s="214">
        <f t="shared" si="41"/>
        <v>111776</v>
      </c>
      <c r="L100" s="213">
        <f t="shared" si="42"/>
        <v>-32789.527572619802</v>
      </c>
      <c r="M100" s="210">
        <f t="shared" si="33"/>
        <v>-2069.8897422370692</v>
      </c>
      <c r="N100" s="211">
        <f t="shared" si="34"/>
        <v>-34859.417314856873</v>
      </c>
      <c r="O100" s="210">
        <f t="shared" si="35"/>
        <v>0</v>
      </c>
      <c r="P100" s="210">
        <f t="shared" si="36"/>
        <v>0</v>
      </c>
      <c r="Q100" s="210">
        <v>0</v>
      </c>
      <c r="R100" s="211">
        <f t="shared" si="37"/>
        <v>-34859.417314856873</v>
      </c>
    </row>
    <row r="101" spans="1:18" x14ac:dyDescent="0.25">
      <c r="A101" s="126">
        <v>10</v>
      </c>
      <c r="B101" s="202">
        <f t="shared" si="5"/>
        <v>43739</v>
      </c>
      <c r="C101" s="226">
        <f t="shared" si="43"/>
        <v>43774</v>
      </c>
      <c r="D101" s="226">
        <f t="shared" si="43"/>
        <v>43789</v>
      </c>
      <c r="E101" s="54" t="s">
        <v>8</v>
      </c>
      <c r="F101" s="163">
        <v>9</v>
      </c>
      <c r="G101" s="205">
        <v>125</v>
      </c>
      <c r="H101" s="206">
        <f t="shared" si="44"/>
        <v>798.4</v>
      </c>
      <c r="I101" s="206">
        <f t="shared" si="26"/>
        <v>564.18908876700141</v>
      </c>
      <c r="J101" s="207">
        <f t="shared" si="3"/>
        <v>70523.636095875176</v>
      </c>
      <c r="K101" s="214">
        <f t="shared" si="41"/>
        <v>99800</v>
      </c>
      <c r="L101" s="213">
        <f t="shared" si="42"/>
        <v>-29276.363904124824</v>
      </c>
      <c r="M101" s="210">
        <f t="shared" si="33"/>
        <v>-1848.1158412830978</v>
      </c>
      <c r="N101" s="211">
        <f t="shared" si="34"/>
        <v>-31124.479745407923</v>
      </c>
      <c r="O101" s="210">
        <f t="shared" si="35"/>
        <v>0</v>
      </c>
      <c r="P101" s="210">
        <f t="shared" si="36"/>
        <v>0</v>
      </c>
      <c r="Q101" s="210">
        <v>0</v>
      </c>
      <c r="R101" s="211">
        <f t="shared" si="37"/>
        <v>-31124.479745407923</v>
      </c>
    </row>
    <row r="102" spans="1:18" x14ac:dyDescent="0.25">
      <c r="A102" s="163">
        <v>11</v>
      </c>
      <c r="B102" s="202">
        <f t="shared" si="5"/>
        <v>43770</v>
      </c>
      <c r="C102" s="226">
        <f t="shared" si="43"/>
        <v>43803</v>
      </c>
      <c r="D102" s="226">
        <f t="shared" si="43"/>
        <v>43818</v>
      </c>
      <c r="E102" s="54" t="s">
        <v>8</v>
      </c>
      <c r="F102" s="163">
        <v>9</v>
      </c>
      <c r="G102" s="205">
        <v>79</v>
      </c>
      <c r="H102" s="206">
        <f t="shared" si="44"/>
        <v>798.4</v>
      </c>
      <c r="I102" s="206">
        <f t="shared" si="26"/>
        <v>564.18908876700141</v>
      </c>
      <c r="J102" s="207">
        <f t="shared" si="3"/>
        <v>44570.938012593113</v>
      </c>
      <c r="K102" s="214">
        <f t="shared" si="41"/>
        <v>63073.599999999999</v>
      </c>
      <c r="L102" s="213">
        <f t="shared" si="42"/>
        <v>-18502.661987406886</v>
      </c>
      <c r="M102" s="210">
        <f t="shared" si="33"/>
        <v>-1168.0092116909175</v>
      </c>
      <c r="N102" s="211">
        <f t="shared" si="34"/>
        <v>-19670.671199097804</v>
      </c>
      <c r="O102" s="210">
        <f t="shared" si="35"/>
        <v>0</v>
      </c>
      <c r="P102" s="210">
        <f t="shared" si="36"/>
        <v>0</v>
      </c>
      <c r="Q102" s="210">
        <v>0</v>
      </c>
      <c r="R102" s="211">
        <f t="shared" si="37"/>
        <v>-19670.671199097804</v>
      </c>
    </row>
    <row r="103" spans="1:18" s="230" customFormat="1" x14ac:dyDescent="0.25">
      <c r="A103" s="163">
        <v>12</v>
      </c>
      <c r="B103" s="228">
        <f t="shared" si="5"/>
        <v>43800</v>
      </c>
      <c r="C103" s="226">
        <f t="shared" si="43"/>
        <v>43833</v>
      </c>
      <c r="D103" s="226">
        <f t="shared" si="43"/>
        <v>43850</v>
      </c>
      <c r="E103" s="229" t="s">
        <v>8</v>
      </c>
      <c r="F103" s="174">
        <v>9</v>
      </c>
      <c r="G103" s="217">
        <v>81</v>
      </c>
      <c r="H103" s="218">
        <f t="shared" si="44"/>
        <v>798.4</v>
      </c>
      <c r="I103" s="218">
        <f t="shared" si="26"/>
        <v>564.18908876700141</v>
      </c>
      <c r="J103" s="219">
        <f t="shared" si="3"/>
        <v>45699.316190127116</v>
      </c>
      <c r="K103" s="220">
        <f t="shared" si="41"/>
        <v>64670.400000000001</v>
      </c>
      <c r="L103" s="221">
        <f t="shared" si="42"/>
        <v>-18971.083809872885</v>
      </c>
      <c r="M103" s="210">
        <f t="shared" si="33"/>
        <v>-1197.5790651514471</v>
      </c>
      <c r="N103" s="211">
        <f t="shared" si="34"/>
        <v>-20168.662875024333</v>
      </c>
      <c r="O103" s="210">
        <f t="shared" si="35"/>
        <v>0</v>
      </c>
      <c r="P103" s="210">
        <f t="shared" si="36"/>
        <v>0</v>
      </c>
      <c r="Q103" s="210">
        <v>0</v>
      </c>
      <c r="R103" s="211">
        <f t="shared" si="37"/>
        <v>-20168.662875024333</v>
      </c>
    </row>
    <row r="104" spans="1:18" x14ac:dyDescent="0.25">
      <c r="A104" s="126">
        <v>1</v>
      </c>
      <c r="B104" s="202">
        <f t="shared" si="5"/>
        <v>43466</v>
      </c>
      <c r="C104" s="223">
        <f t="shared" si="43"/>
        <v>43501</v>
      </c>
      <c r="D104" s="223">
        <f t="shared" si="43"/>
        <v>43516</v>
      </c>
      <c r="E104" s="204" t="s">
        <v>19</v>
      </c>
      <c r="F104" s="126">
        <v>9</v>
      </c>
      <c r="G104" s="205">
        <v>43</v>
      </c>
      <c r="H104" s="206">
        <f t="shared" ref="H104:H110" si="45">+$K$6</f>
        <v>904.88</v>
      </c>
      <c r="I104" s="206">
        <f t="shared" si="26"/>
        <v>564.18908876700141</v>
      </c>
      <c r="J104" s="207">
        <f t="shared" si="3"/>
        <v>24260.130816981062</v>
      </c>
      <c r="K104" s="208">
        <f t="shared" si="41"/>
        <v>38909.839999999997</v>
      </c>
      <c r="L104" s="209">
        <f t="shared" si="42"/>
        <v>-14649.709183018935</v>
      </c>
      <c r="M104" s="210">
        <f t="shared" si="33"/>
        <v>-635.75184940138558</v>
      </c>
      <c r="N104" s="211">
        <f t="shared" si="34"/>
        <v>-15285.46103242032</v>
      </c>
      <c r="O104" s="210">
        <f t="shared" si="35"/>
        <v>0</v>
      </c>
      <c r="P104" s="210">
        <f t="shared" si="36"/>
        <v>0</v>
      </c>
      <c r="Q104" s="210">
        <v>0</v>
      </c>
      <c r="R104" s="211">
        <f t="shared" si="37"/>
        <v>-15285.46103242032</v>
      </c>
    </row>
    <row r="105" spans="1:18" x14ac:dyDescent="0.25">
      <c r="A105" s="163">
        <v>2</v>
      </c>
      <c r="B105" s="202">
        <f t="shared" si="5"/>
        <v>43497</v>
      </c>
      <c r="C105" s="226">
        <f t="shared" si="43"/>
        <v>43529</v>
      </c>
      <c r="D105" s="226">
        <f t="shared" si="43"/>
        <v>43544</v>
      </c>
      <c r="E105" s="212" t="s">
        <v>19</v>
      </c>
      <c r="F105" s="163">
        <v>9</v>
      </c>
      <c r="G105" s="205">
        <v>37</v>
      </c>
      <c r="H105" s="206">
        <f t="shared" si="45"/>
        <v>904.88</v>
      </c>
      <c r="I105" s="206">
        <f t="shared" si="26"/>
        <v>564.18908876700141</v>
      </c>
      <c r="J105" s="207">
        <f t="shared" si="3"/>
        <v>20874.996284379053</v>
      </c>
      <c r="K105" s="208">
        <f t="shared" si="41"/>
        <v>33480.559999999998</v>
      </c>
      <c r="L105" s="209">
        <f t="shared" si="42"/>
        <v>-12605.563715620945</v>
      </c>
      <c r="M105" s="210">
        <f t="shared" si="33"/>
        <v>-547.04228901979684</v>
      </c>
      <c r="N105" s="211">
        <f t="shared" si="34"/>
        <v>-13152.606004640742</v>
      </c>
      <c r="O105" s="210">
        <f t="shared" si="35"/>
        <v>0</v>
      </c>
      <c r="P105" s="210">
        <f t="shared" si="36"/>
        <v>0</v>
      </c>
      <c r="Q105" s="210">
        <v>0</v>
      </c>
      <c r="R105" s="211">
        <f t="shared" si="37"/>
        <v>-13152.606004640742</v>
      </c>
    </row>
    <row r="106" spans="1:18" x14ac:dyDescent="0.25">
      <c r="A106" s="163">
        <v>3</v>
      </c>
      <c r="B106" s="202">
        <f t="shared" si="5"/>
        <v>43525</v>
      </c>
      <c r="C106" s="226">
        <f t="shared" si="43"/>
        <v>43558</v>
      </c>
      <c r="D106" s="226">
        <f t="shared" si="43"/>
        <v>43573</v>
      </c>
      <c r="E106" s="212" t="s">
        <v>19</v>
      </c>
      <c r="F106" s="163">
        <v>9</v>
      </c>
      <c r="G106" s="205">
        <v>40</v>
      </c>
      <c r="H106" s="206">
        <f t="shared" si="45"/>
        <v>904.88</v>
      </c>
      <c r="I106" s="206">
        <f t="shared" si="26"/>
        <v>564.18908876700141</v>
      </c>
      <c r="J106" s="207">
        <f t="shared" si="3"/>
        <v>22567.563550680057</v>
      </c>
      <c r="K106" s="208">
        <f t="shared" si="41"/>
        <v>36195.199999999997</v>
      </c>
      <c r="L106" s="209">
        <f>+J106-K106</f>
        <v>-13627.63644931994</v>
      </c>
      <c r="M106" s="210">
        <f t="shared" si="33"/>
        <v>-591.39706921059121</v>
      </c>
      <c r="N106" s="211">
        <f t="shared" si="34"/>
        <v>-14219.03351853053</v>
      </c>
      <c r="O106" s="210">
        <f t="shared" si="35"/>
        <v>0</v>
      </c>
      <c r="P106" s="210">
        <f t="shared" si="36"/>
        <v>0</v>
      </c>
      <c r="Q106" s="210">
        <v>0</v>
      </c>
      <c r="R106" s="211">
        <f t="shared" si="37"/>
        <v>-14219.03351853053</v>
      </c>
    </row>
    <row r="107" spans="1:18" x14ac:dyDescent="0.25">
      <c r="A107" s="126">
        <v>4</v>
      </c>
      <c r="B107" s="202">
        <f t="shared" si="5"/>
        <v>43556</v>
      </c>
      <c r="C107" s="226">
        <f t="shared" si="43"/>
        <v>43588</v>
      </c>
      <c r="D107" s="226">
        <f t="shared" si="43"/>
        <v>43605</v>
      </c>
      <c r="E107" s="54" t="s">
        <v>19</v>
      </c>
      <c r="F107" s="163">
        <v>9</v>
      </c>
      <c r="G107" s="205">
        <v>36</v>
      </c>
      <c r="H107" s="206">
        <f t="shared" si="45"/>
        <v>904.88</v>
      </c>
      <c r="I107" s="206">
        <f t="shared" si="26"/>
        <v>564.18908876700141</v>
      </c>
      <c r="J107" s="207">
        <f t="shared" si="3"/>
        <v>20310.807195612051</v>
      </c>
      <c r="K107" s="208">
        <f t="shared" si="41"/>
        <v>32575.68</v>
      </c>
      <c r="L107" s="209">
        <f t="shared" ref="L107:L115" si="46">+J107-K107</f>
        <v>-12264.872804387949</v>
      </c>
      <c r="M107" s="210">
        <f t="shared" si="33"/>
        <v>-532.25736228953213</v>
      </c>
      <c r="N107" s="211">
        <f t="shared" si="34"/>
        <v>-12797.130166677482</v>
      </c>
      <c r="O107" s="210">
        <f t="shared" si="35"/>
        <v>0</v>
      </c>
      <c r="P107" s="210">
        <f t="shared" si="36"/>
        <v>0</v>
      </c>
      <c r="Q107" s="210">
        <v>0</v>
      </c>
      <c r="R107" s="211">
        <f t="shared" si="37"/>
        <v>-12797.130166677482</v>
      </c>
    </row>
    <row r="108" spans="1:18" x14ac:dyDescent="0.25">
      <c r="A108" s="163">
        <v>5</v>
      </c>
      <c r="B108" s="202">
        <f t="shared" si="5"/>
        <v>43586</v>
      </c>
      <c r="C108" s="226">
        <f t="shared" si="43"/>
        <v>43621</v>
      </c>
      <c r="D108" s="226">
        <f t="shared" si="43"/>
        <v>43636</v>
      </c>
      <c r="E108" s="54" t="s">
        <v>19</v>
      </c>
      <c r="F108" s="163">
        <v>9</v>
      </c>
      <c r="G108" s="205">
        <v>41</v>
      </c>
      <c r="H108" s="206">
        <f t="shared" si="45"/>
        <v>904.88</v>
      </c>
      <c r="I108" s="206">
        <f t="shared" ref="I108:I127" si="47">$J$3</f>
        <v>564.18908876700141</v>
      </c>
      <c r="J108" s="207">
        <f t="shared" si="3"/>
        <v>23131.752639447059</v>
      </c>
      <c r="K108" s="208">
        <f t="shared" si="41"/>
        <v>37100.080000000002</v>
      </c>
      <c r="L108" s="209">
        <f t="shared" si="46"/>
        <v>-13968.327360552943</v>
      </c>
      <c r="M108" s="210">
        <f t="shared" si="33"/>
        <v>-606.18199594085604</v>
      </c>
      <c r="N108" s="211">
        <f t="shared" si="34"/>
        <v>-14574.5093564938</v>
      </c>
      <c r="O108" s="210">
        <f t="shared" si="35"/>
        <v>0</v>
      </c>
      <c r="P108" s="210">
        <f t="shared" si="36"/>
        <v>0</v>
      </c>
      <c r="Q108" s="210">
        <v>0</v>
      </c>
      <c r="R108" s="211">
        <f t="shared" si="37"/>
        <v>-14574.5093564938</v>
      </c>
    </row>
    <row r="109" spans="1:18" x14ac:dyDescent="0.25">
      <c r="A109" s="163">
        <v>6</v>
      </c>
      <c r="B109" s="202">
        <f t="shared" ref="B109:B148" si="48">DATE($R$1,A109,1)</f>
        <v>43617</v>
      </c>
      <c r="C109" s="226">
        <f t="shared" si="43"/>
        <v>43649</v>
      </c>
      <c r="D109" s="226">
        <f t="shared" si="43"/>
        <v>43664</v>
      </c>
      <c r="E109" s="54" t="s">
        <v>19</v>
      </c>
      <c r="F109" s="163">
        <v>9</v>
      </c>
      <c r="G109" s="205">
        <v>40</v>
      </c>
      <c r="H109" s="206">
        <f t="shared" si="45"/>
        <v>904.88</v>
      </c>
      <c r="I109" s="206">
        <f t="shared" si="47"/>
        <v>564.18908876700141</v>
      </c>
      <c r="J109" s="207">
        <f t="shared" ref="J109:J148" si="49">+$G109*I109</f>
        <v>22567.563550680057</v>
      </c>
      <c r="K109" s="208">
        <f t="shared" si="41"/>
        <v>36195.199999999997</v>
      </c>
      <c r="L109" s="213">
        <f t="shared" si="46"/>
        <v>-13627.63644931994</v>
      </c>
      <c r="M109" s="210">
        <f t="shared" si="33"/>
        <v>-591.39706921059121</v>
      </c>
      <c r="N109" s="211">
        <f t="shared" si="34"/>
        <v>-14219.03351853053</v>
      </c>
      <c r="O109" s="210">
        <f t="shared" si="35"/>
        <v>0</v>
      </c>
      <c r="P109" s="210">
        <f t="shared" si="36"/>
        <v>0</v>
      </c>
      <c r="Q109" s="210">
        <v>0</v>
      </c>
      <c r="R109" s="211">
        <f t="shared" si="37"/>
        <v>-14219.03351853053</v>
      </c>
    </row>
    <row r="110" spans="1:18" x14ac:dyDescent="0.25">
      <c r="A110" s="126">
        <v>7</v>
      </c>
      <c r="B110" s="202">
        <f t="shared" si="48"/>
        <v>43647</v>
      </c>
      <c r="C110" s="226">
        <f t="shared" si="43"/>
        <v>43682</v>
      </c>
      <c r="D110" s="226">
        <f t="shared" si="43"/>
        <v>43697</v>
      </c>
      <c r="E110" s="54" t="s">
        <v>19</v>
      </c>
      <c r="F110" s="163">
        <v>9</v>
      </c>
      <c r="G110" s="205">
        <v>46</v>
      </c>
      <c r="H110" s="206">
        <f t="shared" si="45"/>
        <v>904.88</v>
      </c>
      <c r="I110" s="206">
        <f t="shared" si="47"/>
        <v>564.18908876700141</v>
      </c>
      <c r="J110" s="207">
        <f t="shared" si="49"/>
        <v>25952.698083282066</v>
      </c>
      <c r="K110" s="214">
        <f t="shared" si="41"/>
        <v>41624.480000000003</v>
      </c>
      <c r="L110" s="213">
        <f t="shared" si="46"/>
        <v>-15671.781916717937</v>
      </c>
      <c r="M110" s="210">
        <f t="shared" si="33"/>
        <v>-680.10662959217984</v>
      </c>
      <c r="N110" s="211">
        <f t="shared" si="34"/>
        <v>-16351.888546310116</v>
      </c>
      <c r="O110" s="210">
        <f t="shared" si="35"/>
        <v>0</v>
      </c>
      <c r="P110" s="210">
        <f t="shared" si="36"/>
        <v>0</v>
      </c>
      <c r="Q110" s="210">
        <v>0</v>
      </c>
      <c r="R110" s="211">
        <f t="shared" si="37"/>
        <v>-16351.888546310116</v>
      </c>
    </row>
    <row r="111" spans="1:18" x14ac:dyDescent="0.25">
      <c r="A111" s="163">
        <v>8</v>
      </c>
      <c r="B111" s="202">
        <f t="shared" si="48"/>
        <v>43678</v>
      </c>
      <c r="C111" s="226">
        <f t="shared" si="43"/>
        <v>43712</v>
      </c>
      <c r="D111" s="226">
        <f t="shared" si="43"/>
        <v>43727</v>
      </c>
      <c r="E111" s="54" t="s">
        <v>19</v>
      </c>
      <c r="F111" s="163">
        <v>9</v>
      </c>
      <c r="G111" s="205">
        <v>47</v>
      </c>
      <c r="H111" s="206">
        <f t="shared" ref="H111:H115" si="50">$K$3</f>
        <v>798.4</v>
      </c>
      <c r="I111" s="206">
        <f t="shared" si="47"/>
        <v>564.18908876700141</v>
      </c>
      <c r="J111" s="207">
        <f t="shared" si="49"/>
        <v>26516.887172049068</v>
      </c>
      <c r="K111" s="214">
        <f t="shared" si="41"/>
        <v>37524.799999999996</v>
      </c>
      <c r="L111" s="213">
        <f t="shared" si="46"/>
        <v>-11007.912827950928</v>
      </c>
      <c r="M111" s="210">
        <f t="shared" si="33"/>
        <v>-694.89155632244467</v>
      </c>
      <c r="N111" s="211">
        <f t="shared" si="34"/>
        <v>-11702.804384273373</v>
      </c>
      <c r="O111" s="210">
        <f t="shared" si="35"/>
        <v>0</v>
      </c>
      <c r="P111" s="210">
        <f t="shared" si="36"/>
        <v>0</v>
      </c>
      <c r="Q111" s="210">
        <v>0</v>
      </c>
      <c r="R111" s="211">
        <f t="shared" si="37"/>
        <v>-11702.804384273373</v>
      </c>
    </row>
    <row r="112" spans="1:18" x14ac:dyDescent="0.25">
      <c r="A112" s="163">
        <v>9</v>
      </c>
      <c r="B112" s="202">
        <f t="shared" si="48"/>
        <v>43709</v>
      </c>
      <c r="C112" s="226">
        <f t="shared" si="43"/>
        <v>43741</v>
      </c>
      <c r="D112" s="226">
        <f t="shared" si="43"/>
        <v>43756</v>
      </c>
      <c r="E112" s="54" t="s">
        <v>19</v>
      </c>
      <c r="F112" s="163">
        <v>9</v>
      </c>
      <c r="G112" s="205">
        <v>45</v>
      </c>
      <c r="H112" s="206">
        <f t="shared" si="50"/>
        <v>798.4</v>
      </c>
      <c r="I112" s="206">
        <f t="shared" si="47"/>
        <v>564.18908876700141</v>
      </c>
      <c r="J112" s="207">
        <f t="shared" si="49"/>
        <v>25388.508994515065</v>
      </c>
      <c r="K112" s="214">
        <f t="shared" si="41"/>
        <v>35928</v>
      </c>
      <c r="L112" s="213">
        <f t="shared" si="46"/>
        <v>-10539.491005484935</v>
      </c>
      <c r="M112" s="210">
        <f t="shared" si="33"/>
        <v>-665.32170286191513</v>
      </c>
      <c r="N112" s="211">
        <f t="shared" si="34"/>
        <v>-11204.81270834685</v>
      </c>
      <c r="O112" s="210">
        <f t="shared" si="35"/>
        <v>0</v>
      </c>
      <c r="P112" s="210">
        <f t="shared" si="36"/>
        <v>0</v>
      </c>
      <c r="Q112" s="210">
        <v>0</v>
      </c>
      <c r="R112" s="211">
        <f t="shared" si="37"/>
        <v>-11204.81270834685</v>
      </c>
    </row>
    <row r="113" spans="1:18" x14ac:dyDescent="0.25">
      <c r="A113" s="126">
        <v>10</v>
      </c>
      <c r="B113" s="202">
        <f t="shared" si="48"/>
        <v>43739</v>
      </c>
      <c r="C113" s="226">
        <f t="shared" si="43"/>
        <v>43774</v>
      </c>
      <c r="D113" s="226">
        <f t="shared" si="43"/>
        <v>43789</v>
      </c>
      <c r="E113" s="54" t="s">
        <v>19</v>
      </c>
      <c r="F113" s="163">
        <v>9</v>
      </c>
      <c r="G113" s="205">
        <v>42</v>
      </c>
      <c r="H113" s="206">
        <f t="shared" si="50"/>
        <v>798.4</v>
      </c>
      <c r="I113" s="206">
        <f t="shared" si="47"/>
        <v>564.18908876700141</v>
      </c>
      <c r="J113" s="207">
        <f t="shared" si="49"/>
        <v>23695.94172821406</v>
      </c>
      <c r="K113" s="214">
        <f t="shared" si="41"/>
        <v>33532.799999999996</v>
      </c>
      <c r="L113" s="213">
        <f t="shared" si="46"/>
        <v>-9836.8582717859354</v>
      </c>
      <c r="M113" s="210">
        <f t="shared" si="33"/>
        <v>-620.96692267112076</v>
      </c>
      <c r="N113" s="211">
        <f t="shared" si="34"/>
        <v>-10457.825194457057</v>
      </c>
      <c r="O113" s="210">
        <f t="shared" si="35"/>
        <v>0</v>
      </c>
      <c r="P113" s="210">
        <f t="shared" si="36"/>
        <v>0</v>
      </c>
      <c r="Q113" s="210">
        <v>0</v>
      </c>
      <c r="R113" s="211">
        <f t="shared" si="37"/>
        <v>-10457.825194457057</v>
      </c>
    </row>
    <row r="114" spans="1:18" x14ac:dyDescent="0.25">
      <c r="A114" s="163">
        <v>11</v>
      </c>
      <c r="B114" s="202">
        <f t="shared" si="48"/>
        <v>43770</v>
      </c>
      <c r="C114" s="226">
        <f t="shared" si="43"/>
        <v>43803</v>
      </c>
      <c r="D114" s="226">
        <f t="shared" si="43"/>
        <v>43818</v>
      </c>
      <c r="E114" s="54" t="s">
        <v>19</v>
      </c>
      <c r="F114" s="163">
        <v>9</v>
      </c>
      <c r="G114" s="205">
        <v>43</v>
      </c>
      <c r="H114" s="206">
        <f t="shared" si="50"/>
        <v>798.4</v>
      </c>
      <c r="I114" s="206">
        <f t="shared" si="47"/>
        <v>564.18908876700141</v>
      </c>
      <c r="J114" s="207">
        <f t="shared" si="49"/>
        <v>24260.130816981062</v>
      </c>
      <c r="K114" s="214">
        <f t="shared" si="41"/>
        <v>34331.199999999997</v>
      </c>
      <c r="L114" s="213">
        <f t="shared" si="46"/>
        <v>-10071.069183018935</v>
      </c>
      <c r="M114" s="210">
        <f t="shared" si="33"/>
        <v>-635.75184940138558</v>
      </c>
      <c r="N114" s="211">
        <f t="shared" si="34"/>
        <v>-10706.821032420321</v>
      </c>
      <c r="O114" s="210">
        <f t="shared" si="35"/>
        <v>0</v>
      </c>
      <c r="P114" s="210">
        <f t="shared" si="36"/>
        <v>0</v>
      </c>
      <c r="Q114" s="210">
        <v>0</v>
      </c>
      <c r="R114" s="211">
        <f t="shared" si="37"/>
        <v>-10706.821032420321</v>
      </c>
    </row>
    <row r="115" spans="1:18" s="230" customFormat="1" x14ac:dyDescent="0.25">
      <c r="A115" s="163">
        <v>12</v>
      </c>
      <c r="B115" s="228">
        <f t="shared" si="48"/>
        <v>43800</v>
      </c>
      <c r="C115" s="231">
        <f t="shared" si="43"/>
        <v>43833</v>
      </c>
      <c r="D115" s="231">
        <f t="shared" si="43"/>
        <v>43850</v>
      </c>
      <c r="E115" s="229" t="s">
        <v>19</v>
      </c>
      <c r="F115" s="174">
        <v>9</v>
      </c>
      <c r="G115" s="217">
        <v>38</v>
      </c>
      <c r="H115" s="218">
        <f t="shared" si="50"/>
        <v>798.4</v>
      </c>
      <c r="I115" s="218">
        <f t="shared" si="47"/>
        <v>564.18908876700141</v>
      </c>
      <c r="J115" s="219">
        <f t="shared" si="49"/>
        <v>21439.185373146054</v>
      </c>
      <c r="K115" s="220">
        <f t="shared" si="41"/>
        <v>30339.200000000001</v>
      </c>
      <c r="L115" s="221">
        <f t="shared" si="46"/>
        <v>-8900.0146268539465</v>
      </c>
      <c r="M115" s="210">
        <f t="shared" si="33"/>
        <v>-561.82721575006167</v>
      </c>
      <c r="N115" s="211">
        <f t="shared" si="34"/>
        <v>-9461.841842604008</v>
      </c>
      <c r="O115" s="210">
        <f t="shared" si="35"/>
        <v>0</v>
      </c>
      <c r="P115" s="210">
        <f t="shared" si="36"/>
        <v>0</v>
      </c>
      <c r="Q115" s="210">
        <v>0</v>
      </c>
      <c r="R115" s="211">
        <f t="shared" si="37"/>
        <v>-9461.841842604008</v>
      </c>
    </row>
    <row r="116" spans="1:18" x14ac:dyDescent="0.25">
      <c r="A116" s="126">
        <v>1</v>
      </c>
      <c r="B116" s="202">
        <f t="shared" si="48"/>
        <v>43466</v>
      </c>
      <c r="C116" s="226">
        <f t="shared" si="43"/>
        <v>43501</v>
      </c>
      <c r="D116" s="226">
        <f t="shared" si="43"/>
        <v>43516</v>
      </c>
      <c r="E116" s="204" t="s">
        <v>13</v>
      </c>
      <c r="F116" s="126">
        <v>9</v>
      </c>
      <c r="G116" s="205">
        <v>988</v>
      </c>
      <c r="H116" s="206">
        <f t="shared" ref="H116:H122" si="51">+$K$6</f>
        <v>904.88</v>
      </c>
      <c r="I116" s="206">
        <f t="shared" si="47"/>
        <v>564.18908876700141</v>
      </c>
      <c r="J116" s="207">
        <f t="shared" si="49"/>
        <v>557418.81970179745</v>
      </c>
      <c r="K116" s="208">
        <f t="shared" si="41"/>
        <v>894021.44</v>
      </c>
      <c r="L116" s="209">
        <f>+J116-K116</f>
        <v>-336602.6202982025</v>
      </c>
      <c r="M116" s="210">
        <f t="shared" si="33"/>
        <v>-14607.507609501603</v>
      </c>
      <c r="N116" s="211">
        <f t="shared" si="34"/>
        <v>-351210.1279077041</v>
      </c>
      <c r="O116" s="210">
        <f t="shared" si="35"/>
        <v>0</v>
      </c>
      <c r="P116" s="210">
        <f t="shared" si="36"/>
        <v>0</v>
      </c>
      <c r="Q116" s="210">
        <v>0</v>
      </c>
      <c r="R116" s="211">
        <f t="shared" si="37"/>
        <v>-351210.1279077041</v>
      </c>
    </row>
    <row r="117" spans="1:18" x14ac:dyDescent="0.25">
      <c r="A117" s="163">
        <v>2</v>
      </c>
      <c r="B117" s="202">
        <f t="shared" si="48"/>
        <v>43497</v>
      </c>
      <c r="C117" s="226">
        <f t="shared" ref="C117:D139" si="52">+C105</f>
        <v>43529</v>
      </c>
      <c r="D117" s="226">
        <f t="shared" si="52"/>
        <v>43544</v>
      </c>
      <c r="E117" s="212" t="s">
        <v>13</v>
      </c>
      <c r="F117" s="163">
        <v>9</v>
      </c>
      <c r="G117" s="205">
        <v>951</v>
      </c>
      <c r="H117" s="206">
        <f t="shared" si="51"/>
        <v>904.88</v>
      </c>
      <c r="I117" s="206">
        <f t="shared" si="47"/>
        <v>564.18908876700141</v>
      </c>
      <c r="J117" s="207">
        <f t="shared" si="49"/>
        <v>536543.82341741829</v>
      </c>
      <c r="K117" s="208">
        <f t="shared" si="41"/>
        <v>860540.88</v>
      </c>
      <c r="L117" s="209">
        <f>+J117-K117</f>
        <v>-323997.05658258172</v>
      </c>
      <c r="M117" s="210">
        <f t="shared" si="33"/>
        <v>-14060.465320481808</v>
      </c>
      <c r="N117" s="211">
        <f t="shared" si="34"/>
        <v>-338057.52190306352</v>
      </c>
      <c r="O117" s="210">
        <f t="shared" si="35"/>
        <v>0</v>
      </c>
      <c r="P117" s="210">
        <f t="shared" si="36"/>
        <v>0</v>
      </c>
      <c r="Q117" s="210">
        <v>0</v>
      </c>
      <c r="R117" s="211">
        <f t="shared" si="37"/>
        <v>-338057.52190306352</v>
      </c>
    </row>
    <row r="118" spans="1:18" x14ac:dyDescent="0.25">
      <c r="A118" s="163">
        <v>3</v>
      </c>
      <c r="B118" s="202">
        <f t="shared" si="48"/>
        <v>43525</v>
      </c>
      <c r="C118" s="226">
        <f t="shared" si="52"/>
        <v>43558</v>
      </c>
      <c r="D118" s="226">
        <f t="shared" si="52"/>
        <v>43573</v>
      </c>
      <c r="E118" s="212" t="s">
        <v>13</v>
      </c>
      <c r="F118" s="163">
        <v>9</v>
      </c>
      <c r="G118" s="205">
        <v>1055</v>
      </c>
      <c r="H118" s="206">
        <f t="shared" si="51"/>
        <v>904.88</v>
      </c>
      <c r="I118" s="206">
        <f t="shared" si="47"/>
        <v>564.18908876700141</v>
      </c>
      <c r="J118" s="207">
        <f t="shared" si="49"/>
        <v>595219.48864918645</v>
      </c>
      <c r="K118" s="208">
        <f t="shared" si="41"/>
        <v>954648.4</v>
      </c>
      <c r="L118" s="209">
        <f>+J118-K118</f>
        <v>-359428.91135081358</v>
      </c>
      <c r="M118" s="210">
        <f t="shared" si="33"/>
        <v>-15598.097700429345</v>
      </c>
      <c r="N118" s="211">
        <f t="shared" si="34"/>
        <v>-375027.0090512429</v>
      </c>
      <c r="O118" s="210">
        <f t="shared" si="35"/>
        <v>0</v>
      </c>
      <c r="P118" s="210">
        <f t="shared" si="36"/>
        <v>0</v>
      </c>
      <c r="Q118" s="210">
        <v>0</v>
      </c>
      <c r="R118" s="211">
        <f t="shared" si="37"/>
        <v>-375027.0090512429</v>
      </c>
    </row>
    <row r="119" spans="1:18" x14ac:dyDescent="0.25">
      <c r="A119" s="126">
        <v>4</v>
      </c>
      <c r="B119" s="202">
        <f t="shared" si="48"/>
        <v>43556</v>
      </c>
      <c r="C119" s="226">
        <f t="shared" si="52"/>
        <v>43588</v>
      </c>
      <c r="D119" s="226">
        <f t="shared" si="52"/>
        <v>43605</v>
      </c>
      <c r="E119" s="54" t="s">
        <v>13</v>
      </c>
      <c r="F119" s="163">
        <v>9</v>
      </c>
      <c r="G119" s="205">
        <v>514</v>
      </c>
      <c r="H119" s="206">
        <f t="shared" si="51"/>
        <v>904.88</v>
      </c>
      <c r="I119" s="206">
        <f t="shared" si="47"/>
        <v>564.18908876700141</v>
      </c>
      <c r="J119" s="207">
        <f t="shared" si="49"/>
        <v>289993.19162623869</v>
      </c>
      <c r="K119" s="208">
        <f t="shared" si="41"/>
        <v>465108.32</v>
      </c>
      <c r="L119" s="209">
        <f t="shared" ref="L119:L127" si="53">+J119-K119</f>
        <v>-175115.12837376131</v>
      </c>
      <c r="M119" s="210">
        <f t="shared" si="33"/>
        <v>-7599.4523393560976</v>
      </c>
      <c r="N119" s="211">
        <f t="shared" si="34"/>
        <v>-182714.58071311741</v>
      </c>
      <c r="O119" s="210">
        <f t="shared" si="35"/>
        <v>0</v>
      </c>
      <c r="P119" s="210">
        <f t="shared" si="36"/>
        <v>0</v>
      </c>
      <c r="Q119" s="210">
        <v>0</v>
      </c>
      <c r="R119" s="211">
        <f t="shared" si="37"/>
        <v>-182714.58071311741</v>
      </c>
    </row>
    <row r="120" spans="1:18" x14ac:dyDescent="0.25">
      <c r="A120" s="163">
        <v>5</v>
      </c>
      <c r="B120" s="202">
        <f t="shared" si="48"/>
        <v>43586</v>
      </c>
      <c r="C120" s="226">
        <f t="shared" si="52"/>
        <v>43621</v>
      </c>
      <c r="D120" s="226">
        <f t="shared" si="52"/>
        <v>43636</v>
      </c>
      <c r="E120" s="54" t="s">
        <v>13</v>
      </c>
      <c r="F120" s="163">
        <v>9</v>
      </c>
      <c r="G120" s="205">
        <v>701</v>
      </c>
      <c r="H120" s="206">
        <f t="shared" si="51"/>
        <v>904.88</v>
      </c>
      <c r="I120" s="206">
        <f t="shared" si="47"/>
        <v>564.18908876700141</v>
      </c>
      <c r="J120" s="207">
        <f t="shared" si="49"/>
        <v>395496.55122566799</v>
      </c>
      <c r="K120" s="208">
        <f t="shared" si="41"/>
        <v>634320.88</v>
      </c>
      <c r="L120" s="209">
        <f t="shared" si="53"/>
        <v>-238824.32877433201</v>
      </c>
      <c r="M120" s="210">
        <f t="shared" si="33"/>
        <v>-10364.233637915611</v>
      </c>
      <c r="N120" s="211">
        <f t="shared" si="34"/>
        <v>-249188.56241224761</v>
      </c>
      <c r="O120" s="210">
        <f t="shared" si="35"/>
        <v>0</v>
      </c>
      <c r="P120" s="210">
        <f t="shared" si="36"/>
        <v>0</v>
      </c>
      <c r="Q120" s="210">
        <v>0</v>
      </c>
      <c r="R120" s="211">
        <f t="shared" si="37"/>
        <v>-249188.56241224761</v>
      </c>
    </row>
    <row r="121" spans="1:18" x14ac:dyDescent="0.25">
      <c r="A121" s="163">
        <v>6</v>
      </c>
      <c r="B121" s="202">
        <f t="shared" si="48"/>
        <v>43617</v>
      </c>
      <c r="C121" s="226">
        <f t="shared" si="52"/>
        <v>43649</v>
      </c>
      <c r="D121" s="226">
        <f t="shared" si="52"/>
        <v>43664</v>
      </c>
      <c r="E121" s="54" t="s">
        <v>13</v>
      </c>
      <c r="F121" s="163">
        <v>9</v>
      </c>
      <c r="G121" s="205">
        <v>822</v>
      </c>
      <c r="H121" s="206">
        <f t="shared" si="51"/>
        <v>904.88</v>
      </c>
      <c r="I121" s="206">
        <f t="shared" si="47"/>
        <v>564.18908876700141</v>
      </c>
      <c r="J121" s="207">
        <f t="shared" si="49"/>
        <v>463763.43096647516</v>
      </c>
      <c r="K121" s="208">
        <f t="shared" si="41"/>
        <v>743811.36</v>
      </c>
      <c r="L121" s="213">
        <f t="shared" si="53"/>
        <v>-280047.92903352482</v>
      </c>
      <c r="M121" s="210">
        <f t="shared" si="33"/>
        <v>-12153.209772277649</v>
      </c>
      <c r="N121" s="211">
        <f t="shared" si="34"/>
        <v>-292201.13880580245</v>
      </c>
      <c r="O121" s="210">
        <f t="shared" si="35"/>
        <v>0</v>
      </c>
      <c r="P121" s="210">
        <f t="shared" si="36"/>
        <v>0</v>
      </c>
      <c r="Q121" s="210">
        <v>0</v>
      </c>
      <c r="R121" s="211">
        <f t="shared" si="37"/>
        <v>-292201.13880580245</v>
      </c>
    </row>
    <row r="122" spans="1:18" x14ac:dyDescent="0.25">
      <c r="A122" s="126">
        <v>7</v>
      </c>
      <c r="B122" s="202">
        <f t="shared" si="48"/>
        <v>43647</v>
      </c>
      <c r="C122" s="226">
        <f t="shared" si="52"/>
        <v>43682</v>
      </c>
      <c r="D122" s="226">
        <f t="shared" si="52"/>
        <v>43697</v>
      </c>
      <c r="E122" s="54" t="s">
        <v>13</v>
      </c>
      <c r="F122" s="163">
        <v>9</v>
      </c>
      <c r="G122" s="205">
        <v>868</v>
      </c>
      <c r="H122" s="206">
        <f t="shared" si="51"/>
        <v>904.88</v>
      </c>
      <c r="I122" s="206">
        <f t="shared" si="47"/>
        <v>564.18908876700141</v>
      </c>
      <c r="J122" s="207">
        <f t="shared" si="49"/>
        <v>489716.1290497572</v>
      </c>
      <c r="K122" s="214">
        <f t="shared" si="41"/>
        <v>785435.84</v>
      </c>
      <c r="L122" s="213">
        <f t="shared" si="53"/>
        <v>-295719.71095024276</v>
      </c>
      <c r="M122" s="210">
        <f t="shared" si="33"/>
        <v>-12833.31640186983</v>
      </c>
      <c r="N122" s="211">
        <f t="shared" si="34"/>
        <v>-308553.02735211258</v>
      </c>
      <c r="O122" s="210">
        <f t="shared" si="35"/>
        <v>0</v>
      </c>
      <c r="P122" s="210">
        <f t="shared" si="36"/>
        <v>0</v>
      </c>
      <c r="Q122" s="210">
        <v>0</v>
      </c>
      <c r="R122" s="211">
        <f t="shared" si="37"/>
        <v>-308553.02735211258</v>
      </c>
    </row>
    <row r="123" spans="1:18" x14ac:dyDescent="0.25">
      <c r="A123" s="163">
        <v>8</v>
      </c>
      <c r="B123" s="202">
        <f t="shared" si="48"/>
        <v>43678</v>
      </c>
      <c r="C123" s="226">
        <f t="shared" si="52"/>
        <v>43712</v>
      </c>
      <c r="D123" s="226">
        <f t="shared" si="52"/>
        <v>43727</v>
      </c>
      <c r="E123" s="54" t="s">
        <v>13</v>
      </c>
      <c r="F123" s="163">
        <v>9</v>
      </c>
      <c r="G123" s="205">
        <v>933</v>
      </c>
      <c r="H123" s="206">
        <f t="shared" ref="H123:H127" si="54">$K$3</f>
        <v>798.4</v>
      </c>
      <c r="I123" s="206">
        <f t="shared" si="47"/>
        <v>564.18908876700141</v>
      </c>
      <c r="J123" s="207">
        <f t="shared" si="49"/>
        <v>526388.41981961229</v>
      </c>
      <c r="K123" s="214">
        <f t="shared" si="41"/>
        <v>744907.2</v>
      </c>
      <c r="L123" s="213">
        <f t="shared" si="53"/>
        <v>-218518.78018038766</v>
      </c>
      <c r="M123" s="210">
        <f t="shared" si="33"/>
        <v>-13794.336639337042</v>
      </c>
      <c r="N123" s="211">
        <f t="shared" si="34"/>
        <v>-232313.1168197247</v>
      </c>
      <c r="O123" s="210">
        <f t="shared" si="35"/>
        <v>0</v>
      </c>
      <c r="P123" s="210">
        <f t="shared" si="36"/>
        <v>0</v>
      </c>
      <c r="Q123" s="210">
        <v>0</v>
      </c>
      <c r="R123" s="211">
        <f t="shared" si="37"/>
        <v>-232313.1168197247</v>
      </c>
    </row>
    <row r="124" spans="1:18" x14ac:dyDescent="0.25">
      <c r="A124" s="163">
        <v>9</v>
      </c>
      <c r="B124" s="202">
        <f t="shared" si="48"/>
        <v>43709</v>
      </c>
      <c r="C124" s="226">
        <f t="shared" si="52"/>
        <v>43741</v>
      </c>
      <c r="D124" s="226">
        <f t="shared" si="52"/>
        <v>43756</v>
      </c>
      <c r="E124" s="54" t="s">
        <v>13</v>
      </c>
      <c r="F124" s="163">
        <v>9</v>
      </c>
      <c r="G124" s="205">
        <v>890</v>
      </c>
      <c r="H124" s="206">
        <f t="shared" si="54"/>
        <v>798.4</v>
      </c>
      <c r="I124" s="206">
        <f t="shared" si="47"/>
        <v>564.18908876700141</v>
      </c>
      <c r="J124" s="207">
        <f t="shared" si="49"/>
        <v>502128.28900263127</v>
      </c>
      <c r="K124" s="214">
        <f t="shared" si="41"/>
        <v>710576</v>
      </c>
      <c r="L124" s="213">
        <f t="shared" si="53"/>
        <v>-208447.71099736873</v>
      </c>
      <c r="M124" s="210">
        <f t="shared" si="33"/>
        <v>-13158.584789935654</v>
      </c>
      <c r="N124" s="211">
        <f t="shared" si="34"/>
        <v>-221606.29578730438</v>
      </c>
      <c r="O124" s="210">
        <f t="shared" si="35"/>
        <v>0</v>
      </c>
      <c r="P124" s="210">
        <f t="shared" si="36"/>
        <v>0</v>
      </c>
      <c r="Q124" s="210">
        <v>0</v>
      </c>
      <c r="R124" s="211">
        <f t="shared" si="37"/>
        <v>-221606.29578730438</v>
      </c>
    </row>
    <row r="125" spans="1:18" x14ac:dyDescent="0.25">
      <c r="A125" s="126">
        <v>10</v>
      </c>
      <c r="B125" s="202">
        <f t="shared" si="48"/>
        <v>43739</v>
      </c>
      <c r="C125" s="226">
        <f t="shared" si="52"/>
        <v>43774</v>
      </c>
      <c r="D125" s="226">
        <f t="shared" si="52"/>
        <v>43789</v>
      </c>
      <c r="E125" s="54" t="s">
        <v>13</v>
      </c>
      <c r="F125" s="163">
        <v>9</v>
      </c>
      <c r="G125" s="205">
        <v>798</v>
      </c>
      <c r="H125" s="206">
        <f t="shared" si="54"/>
        <v>798.4</v>
      </c>
      <c r="I125" s="206">
        <f t="shared" si="47"/>
        <v>564.18908876700141</v>
      </c>
      <c r="J125" s="207">
        <f t="shared" si="49"/>
        <v>450222.89283606713</v>
      </c>
      <c r="K125" s="214">
        <f t="shared" si="41"/>
        <v>637123.19999999995</v>
      </c>
      <c r="L125" s="213">
        <f t="shared" si="53"/>
        <v>-186900.30716393283</v>
      </c>
      <c r="M125" s="210">
        <f t="shared" si="33"/>
        <v>-11798.371530751294</v>
      </c>
      <c r="N125" s="211">
        <f t="shared" si="34"/>
        <v>-198698.67869468412</v>
      </c>
      <c r="O125" s="210">
        <f t="shared" si="35"/>
        <v>0</v>
      </c>
      <c r="P125" s="210">
        <f t="shared" si="36"/>
        <v>0</v>
      </c>
      <c r="Q125" s="210">
        <v>0</v>
      </c>
      <c r="R125" s="211">
        <f t="shared" si="37"/>
        <v>-198698.67869468412</v>
      </c>
    </row>
    <row r="126" spans="1:18" x14ac:dyDescent="0.25">
      <c r="A126" s="163">
        <v>11</v>
      </c>
      <c r="B126" s="202">
        <f t="shared" si="48"/>
        <v>43770</v>
      </c>
      <c r="C126" s="226">
        <f t="shared" si="52"/>
        <v>43803</v>
      </c>
      <c r="D126" s="226">
        <f t="shared" si="52"/>
        <v>43818</v>
      </c>
      <c r="E126" s="54" t="s">
        <v>13</v>
      </c>
      <c r="F126" s="163">
        <v>9</v>
      </c>
      <c r="G126" s="205">
        <v>1050</v>
      </c>
      <c r="H126" s="206">
        <f t="shared" si="54"/>
        <v>798.4</v>
      </c>
      <c r="I126" s="206">
        <f t="shared" si="47"/>
        <v>564.18908876700141</v>
      </c>
      <c r="J126" s="207">
        <f t="shared" si="49"/>
        <v>592398.54320535145</v>
      </c>
      <c r="K126" s="214">
        <f t="shared" si="41"/>
        <v>838320</v>
      </c>
      <c r="L126" s="213">
        <f t="shared" si="53"/>
        <v>-245921.45679464855</v>
      </c>
      <c r="M126" s="210">
        <f t="shared" si="33"/>
        <v>-15524.173066778018</v>
      </c>
      <c r="N126" s="211">
        <f t="shared" si="34"/>
        <v>-261445.62986142657</v>
      </c>
      <c r="O126" s="210">
        <f t="shared" si="35"/>
        <v>0</v>
      </c>
      <c r="P126" s="210">
        <f t="shared" si="36"/>
        <v>0</v>
      </c>
      <c r="Q126" s="210">
        <v>0</v>
      </c>
      <c r="R126" s="211">
        <f t="shared" si="37"/>
        <v>-261445.62986142657</v>
      </c>
    </row>
    <row r="127" spans="1:18" s="230" customFormat="1" x14ac:dyDescent="0.25">
      <c r="A127" s="163">
        <v>12</v>
      </c>
      <c r="B127" s="228">
        <f t="shared" si="48"/>
        <v>43800</v>
      </c>
      <c r="C127" s="231">
        <f t="shared" si="52"/>
        <v>43833</v>
      </c>
      <c r="D127" s="231">
        <f t="shared" si="52"/>
        <v>43850</v>
      </c>
      <c r="E127" s="229" t="s">
        <v>13</v>
      </c>
      <c r="F127" s="174">
        <v>9</v>
      </c>
      <c r="G127" s="217">
        <v>996</v>
      </c>
      <c r="H127" s="218">
        <f t="shared" si="54"/>
        <v>798.4</v>
      </c>
      <c r="I127" s="218">
        <f t="shared" si="47"/>
        <v>564.18908876700141</v>
      </c>
      <c r="J127" s="219">
        <f t="shared" si="49"/>
        <v>561932.33241193346</v>
      </c>
      <c r="K127" s="220">
        <f t="shared" si="41"/>
        <v>795206.4</v>
      </c>
      <c r="L127" s="221">
        <f t="shared" si="53"/>
        <v>-233274.06758806657</v>
      </c>
      <c r="M127" s="210">
        <f t="shared" si="33"/>
        <v>-14725.787023343722</v>
      </c>
      <c r="N127" s="211">
        <f t="shared" si="34"/>
        <v>-247999.85461141029</v>
      </c>
      <c r="O127" s="210">
        <f t="shared" si="35"/>
        <v>0</v>
      </c>
      <c r="P127" s="210">
        <f t="shared" si="36"/>
        <v>0</v>
      </c>
      <c r="Q127" s="210">
        <v>0</v>
      </c>
      <c r="R127" s="211">
        <f t="shared" si="37"/>
        <v>-247999.85461141029</v>
      </c>
    </row>
    <row r="128" spans="1:18" x14ac:dyDescent="0.25">
      <c r="A128" s="126">
        <v>1</v>
      </c>
      <c r="B128" s="202">
        <f t="shared" si="48"/>
        <v>43466</v>
      </c>
      <c r="C128" s="226">
        <f t="shared" si="52"/>
        <v>43501</v>
      </c>
      <c r="D128" s="226">
        <f t="shared" si="52"/>
        <v>43516</v>
      </c>
      <c r="E128" s="204" t="s">
        <v>15</v>
      </c>
      <c r="F128" s="126">
        <v>9</v>
      </c>
      <c r="G128" s="205">
        <v>7</v>
      </c>
      <c r="H128" s="206">
        <f t="shared" ref="H128:H134" si="55">+$K$6</f>
        <v>904.88</v>
      </c>
      <c r="I128" s="206">
        <f t="shared" ref="I128:I147" si="56">$J$3</f>
        <v>564.18908876700141</v>
      </c>
      <c r="J128" s="207">
        <f t="shared" si="49"/>
        <v>3949.3236213690097</v>
      </c>
      <c r="K128" s="208">
        <f t="shared" si="41"/>
        <v>6334.16</v>
      </c>
      <c r="L128" s="209">
        <f>+J128-K128</f>
        <v>-2384.8363786309901</v>
      </c>
      <c r="M128" s="210">
        <f t="shared" si="33"/>
        <v>-103.49448711185347</v>
      </c>
      <c r="N128" s="211">
        <f t="shared" si="34"/>
        <v>-2488.3308657428438</v>
      </c>
      <c r="O128" s="210">
        <f t="shared" si="35"/>
        <v>0</v>
      </c>
      <c r="P128" s="210">
        <f t="shared" si="36"/>
        <v>0</v>
      </c>
      <c r="Q128" s="210">
        <v>0</v>
      </c>
      <c r="R128" s="211">
        <f t="shared" si="37"/>
        <v>-2488.3308657428438</v>
      </c>
    </row>
    <row r="129" spans="1:18" x14ac:dyDescent="0.25">
      <c r="A129" s="163">
        <v>2</v>
      </c>
      <c r="B129" s="202">
        <f t="shared" si="48"/>
        <v>43497</v>
      </c>
      <c r="C129" s="226">
        <f t="shared" si="52"/>
        <v>43529</v>
      </c>
      <c r="D129" s="226">
        <f t="shared" si="52"/>
        <v>43544</v>
      </c>
      <c r="E129" s="212" t="s">
        <v>15</v>
      </c>
      <c r="F129" s="163">
        <v>9</v>
      </c>
      <c r="G129" s="205">
        <v>8</v>
      </c>
      <c r="H129" s="206">
        <f t="shared" si="55"/>
        <v>904.88</v>
      </c>
      <c r="I129" s="206">
        <f t="shared" si="56"/>
        <v>564.18908876700141</v>
      </c>
      <c r="J129" s="207">
        <f t="shared" si="49"/>
        <v>4513.5127101360113</v>
      </c>
      <c r="K129" s="208">
        <f t="shared" si="41"/>
        <v>7239.04</v>
      </c>
      <c r="L129" s="209">
        <f>+J129-K129</f>
        <v>-2725.5272898639887</v>
      </c>
      <c r="M129" s="210">
        <f t="shared" si="33"/>
        <v>-118.27941384211825</v>
      </c>
      <c r="N129" s="211">
        <f t="shared" si="34"/>
        <v>-2843.8067037061069</v>
      </c>
      <c r="O129" s="210">
        <f t="shared" si="35"/>
        <v>0</v>
      </c>
      <c r="P129" s="210">
        <f t="shared" si="36"/>
        <v>0</v>
      </c>
      <c r="Q129" s="210">
        <v>0</v>
      </c>
      <c r="R129" s="211">
        <f t="shared" si="37"/>
        <v>-2843.8067037061069</v>
      </c>
    </row>
    <row r="130" spans="1:18" x14ac:dyDescent="0.25">
      <c r="A130" s="163">
        <v>3</v>
      </c>
      <c r="B130" s="202">
        <f t="shared" si="48"/>
        <v>43525</v>
      </c>
      <c r="C130" s="226">
        <f t="shared" si="52"/>
        <v>43558</v>
      </c>
      <c r="D130" s="226">
        <f t="shared" si="52"/>
        <v>43573</v>
      </c>
      <c r="E130" s="212" t="s">
        <v>15</v>
      </c>
      <c r="F130" s="163">
        <v>9</v>
      </c>
      <c r="G130" s="205">
        <v>6</v>
      </c>
      <c r="H130" s="206">
        <f t="shared" si="55"/>
        <v>904.88</v>
      </c>
      <c r="I130" s="206">
        <f t="shared" si="56"/>
        <v>564.18908876700141</v>
      </c>
      <c r="J130" s="207">
        <f t="shared" si="49"/>
        <v>3385.1345326020082</v>
      </c>
      <c r="K130" s="208">
        <f t="shared" si="41"/>
        <v>5429.28</v>
      </c>
      <c r="L130" s="209">
        <f>+J130-K130</f>
        <v>-2044.1454673979915</v>
      </c>
      <c r="M130" s="210">
        <f t="shared" si="33"/>
        <v>-88.709560381588688</v>
      </c>
      <c r="N130" s="211">
        <f t="shared" si="34"/>
        <v>-2132.8550277795803</v>
      </c>
      <c r="O130" s="210">
        <f t="shared" si="35"/>
        <v>0</v>
      </c>
      <c r="P130" s="210">
        <f t="shared" si="36"/>
        <v>0</v>
      </c>
      <c r="Q130" s="210">
        <v>0</v>
      </c>
      <c r="R130" s="211">
        <f t="shared" si="37"/>
        <v>-2132.8550277795803</v>
      </c>
    </row>
    <row r="131" spans="1:18" x14ac:dyDescent="0.25">
      <c r="A131" s="126">
        <v>4</v>
      </c>
      <c r="B131" s="202">
        <f t="shared" si="48"/>
        <v>43556</v>
      </c>
      <c r="C131" s="226">
        <f t="shared" si="52"/>
        <v>43588</v>
      </c>
      <c r="D131" s="226">
        <f t="shared" si="52"/>
        <v>43605</v>
      </c>
      <c r="E131" s="212" t="s">
        <v>15</v>
      </c>
      <c r="F131" s="163">
        <v>9</v>
      </c>
      <c r="G131" s="205">
        <v>5</v>
      </c>
      <c r="H131" s="206">
        <f t="shared" si="55"/>
        <v>904.88</v>
      </c>
      <c r="I131" s="206">
        <f t="shared" si="56"/>
        <v>564.18908876700141</v>
      </c>
      <c r="J131" s="207">
        <f t="shared" si="49"/>
        <v>2820.9454438350072</v>
      </c>
      <c r="K131" s="208">
        <f t="shared" si="41"/>
        <v>4524.3999999999996</v>
      </c>
      <c r="L131" s="209">
        <f t="shared" ref="L131:L141" si="57">+J131-K131</f>
        <v>-1703.4545561649925</v>
      </c>
      <c r="M131" s="210">
        <f t="shared" si="33"/>
        <v>-73.924633651323902</v>
      </c>
      <c r="N131" s="211">
        <f t="shared" si="34"/>
        <v>-1777.3791898163163</v>
      </c>
      <c r="O131" s="210">
        <f t="shared" si="35"/>
        <v>0</v>
      </c>
      <c r="P131" s="210">
        <f t="shared" si="36"/>
        <v>0</v>
      </c>
      <c r="Q131" s="210">
        <v>0</v>
      </c>
      <c r="R131" s="211">
        <f t="shared" si="37"/>
        <v>-1777.3791898163163</v>
      </c>
    </row>
    <row r="132" spans="1:18" x14ac:dyDescent="0.25">
      <c r="A132" s="163">
        <v>5</v>
      </c>
      <c r="B132" s="202">
        <f t="shared" si="48"/>
        <v>43586</v>
      </c>
      <c r="C132" s="226">
        <f t="shared" si="52"/>
        <v>43621</v>
      </c>
      <c r="D132" s="226">
        <f t="shared" si="52"/>
        <v>43636</v>
      </c>
      <c r="E132" s="54" t="s">
        <v>15</v>
      </c>
      <c r="F132" s="163">
        <v>9</v>
      </c>
      <c r="G132" s="205">
        <v>4</v>
      </c>
      <c r="H132" s="206">
        <f t="shared" si="55"/>
        <v>904.88</v>
      </c>
      <c r="I132" s="206">
        <f t="shared" si="56"/>
        <v>564.18908876700141</v>
      </c>
      <c r="J132" s="207">
        <f t="shared" si="49"/>
        <v>2256.7563550680056</v>
      </c>
      <c r="K132" s="208">
        <f t="shared" si="41"/>
        <v>3619.52</v>
      </c>
      <c r="L132" s="209">
        <f t="shared" si="57"/>
        <v>-1362.7636449319943</v>
      </c>
      <c r="M132" s="210">
        <f t="shared" si="33"/>
        <v>-59.139706921059123</v>
      </c>
      <c r="N132" s="211">
        <f t="shared" si="34"/>
        <v>-1421.9033518530534</v>
      </c>
      <c r="O132" s="210">
        <f t="shared" si="35"/>
        <v>0</v>
      </c>
      <c r="P132" s="210">
        <f t="shared" si="36"/>
        <v>0</v>
      </c>
      <c r="Q132" s="210">
        <v>0</v>
      </c>
      <c r="R132" s="211">
        <f t="shared" si="37"/>
        <v>-1421.9033518530534</v>
      </c>
    </row>
    <row r="133" spans="1:18" x14ac:dyDescent="0.25">
      <c r="A133" s="163">
        <v>6</v>
      </c>
      <c r="B133" s="202">
        <f t="shared" si="48"/>
        <v>43617</v>
      </c>
      <c r="C133" s="226">
        <f t="shared" si="52"/>
        <v>43649</v>
      </c>
      <c r="D133" s="226">
        <f t="shared" si="52"/>
        <v>43664</v>
      </c>
      <c r="E133" s="54" t="s">
        <v>15</v>
      </c>
      <c r="F133" s="163">
        <v>9</v>
      </c>
      <c r="G133" s="205">
        <v>7</v>
      </c>
      <c r="H133" s="206">
        <f t="shared" si="55"/>
        <v>904.88</v>
      </c>
      <c r="I133" s="206">
        <f t="shared" si="56"/>
        <v>564.18908876700141</v>
      </c>
      <c r="J133" s="207">
        <f t="shared" si="49"/>
        <v>3949.3236213690097</v>
      </c>
      <c r="K133" s="208">
        <f t="shared" si="41"/>
        <v>6334.16</v>
      </c>
      <c r="L133" s="213">
        <f t="shared" si="57"/>
        <v>-2384.8363786309901</v>
      </c>
      <c r="M133" s="210">
        <f t="shared" si="33"/>
        <v>-103.49448711185347</v>
      </c>
      <c r="N133" s="211">
        <f t="shared" si="34"/>
        <v>-2488.3308657428438</v>
      </c>
      <c r="O133" s="210">
        <f t="shared" si="35"/>
        <v>0</v>
      </c>
      <c r="P133" s="210">
        <f t="shared" si="36"/>
        <v>0</v>
      </c>
      <c r="Q133" s="210">
        <v>0</v>
      </c>
      <c r="R133" s="211">
        <f t="shared" si="37"/>
        <v>-2488.3308657428438</v>
      </c>
    </row>
    <row r="134" spans="1:18" x14ac:dyDescent="0.25">
      <c r="A134" s="126">
        <v>7</v>
      </c>
      <c r="B134" s="202">
        <f t="shared" si="48"/>
        <v>43647</v>
      </c>
      <c r="C134" s="226">
        <f t="shared" si="52"/>
        <v>43682</v>
      </c>
      <c r="D134" s="226">
        <f t="shared" si="52"/>
        <v>43697</v>
      </c>
      <c r="E134" s="54" t="s">
        <v>15</v>
      </c>
      <c r="F134" s="163">
        <v>9</v>
      </c>
      <c r="G134" s="205">
        <v>17</v>
      </c>
      <c r="H134" s="206">
        <f t="shared" si="55"/>
        <v>904.88</v>
      </c>
      <c r="I134" s="206">
        <f t="shared" si="56"/>
        <v>564.18908876700141</v>
      </c>
      <c r="J134" s="207">
        <f t="shared" si="49"/>
        <v>9591.2145090390241</v>
      </c>
      <c r="K134" s="214">
        <f t="shared" ref="K134:K197" si="58">+$G134*H134</f>
        <v>15382.96</v>
      </c>
      <c r="L134" s="213">
        <f t="shared" si="57"/>
        <v>-5791.7454909609751</v>
      </c>
      <c r="M134" s="210">
        <f t="shared" si="33"/>
        <v>-251.34375441450126</v>
      </c>
      <c r="N134" s="211">
        <f t="shared" si="34"/>
        <v>-6043.0892453754759</v>
      </c>
      <c r="O134" s="210">
        <f t="shared" si="35"/>
        <v>0</v>
      </c>
      <c r="P134" s="210">
        <f t="shared" si="36"/>
        <v>0</v>
      </c>
      <c r="Q134" s="210">
        <v>0</v>
      </c>
      <c r="R134" s="211">
        <f t="shared" si="37"/>
        <v>-6043.0892453754759</v>
      </c>
    </row>
    <row r="135" spans="1:18" x14ac:dyDescent="0.25">
      <c r="A135" s="163">
        <v>8</v>
      </c>
      <c r="B135" s="202">
        <f t="shared" si="48"/>
        <v>43678</v>
      </c>
      <c r="C135" s="226">
        <f t="shared" si="52"/>
        <v>43712</v>
      </c>
      <c r="D135" s="226">
        <f t="shared" si="52"/>
        <v>43727</v>
      </c>
      <c r="E135" s="54" t="s">
        <v>15</v>
      </c>
      <c r="F135" s="163">
        <v>9</v>
      </c>
      <c r="G135" s="205">
        <v>17</v>
      </c>
      <c r="H135" s="206">
        <f t="shared" ref="H135:H139" si="59">$K$3</f>
        <v>798.4</v>
      </c>
      <c r="I135" s="206">
        <f t="shared" si="56"/>
        <v>564.18908876700141</v>
      </c>
      <c r="J135" s="207">
        <f t="shared" si="49"/>
        <v>9591.2145090390241</v>
      </c>
      <c r="K135" s="214">
        <f t="shared" si="58"/>
        <v>13572.8</v>
      </c>
      <c r="L135" s="213">
        <f t="shared" si="57"/>
        <v>-3981.5854909609752</v>
      </c>
      <c r="M135" s="210">
        <f t="shared" si="33"/>
        <v>-251.34375441450126</v>
      </c>
      <c r="N135" s="211">
        <f t="shared" si="34"/>
        <v>-4232.9292453754761</v>
      </c>
      <c r="O135" s="210">
        <f t="shared" si="35"/>
        <v>0</v>
      </c>
      <c r="P135" s="210">
        <f t="shared" si="36"/>
        <v>0</v>
      </c>
      <c r="Q135" s="210">
        <v>0</v>
      </c>
      <c r="R135" s="211">
        <f t="shared" si="37"/>
        <v>-4232.9292453754761</v>
      </c>
    </row>
    <row r="136" spans="1:18" x14ac:dyDescent="0.25">
      <c r="A136" s="163">
        <v>9</v>
      </c>
      <c r="B136" s="202">
        <f t="shared" si="48"/>
        <v>43709</v>
      </c>
      <c r="C136" s="226">
        <f t="shared" si="52"/>
        <v>43741</v>
      </c>
      <c r="D136" s="226">
        <f t="shared" si="52"/>
        <v>43756</v>
      </c>
      <c r="E136" s="54" t="s">
        <v>15</v>
      </c>
      <c r="F136" s="163">
        <v>9</v>
      </c>
      <c r="G136" s="205">
        <v>13</v>
      </c>
      <c r="H136" s="206">
        <f t="shared" si="59"/>
        <v>798.4</v>
      </c>
      <c r="I136" s="206">
        <f t="shared" si="56"/>
        <v>564.18908876700141</v>
      </c>
      <c r="J136" s="207">
        <f t="shared" si="49"/>
        <v>7334.458153971018</v>
      </c>
      <c r="K136" s="214">
        <f t="shared" si="58"/>
        <v>10379.199999999999</v>
      </c>
      <c r="L136" s="213">
        <f t="shared" si="57"/>
        <v>-3044.7418460289809</v>
      </c>
      <c r="M136" s="210">
        <f t="shared" si="33"/>
        <v>-192.20404749344218</v>
      </c>
      <c r="N136" s="211">
        <f t="shared" si="34"/>
        <v>-3236.9458935224229</v>
      </c>
      <c r="O136" s="210">
        <f t="shared" si="35"/>
        <v>0</v>
      </c>
      <c r="P136" s="210">
        <f t="shared" si="36"/>
        <v>0</v>
      </c>
      <c r="Q136" s="210">
        <v>0</v>
      </c>
      <c r="R136" s="211">
        <f t="shared" si="37"/>
        <v>-3236.9458935224229</v>
      </c>
    </row>
    <row r="137" spans="1:18" x14ac:dyDescent="0.25">
      <c r="A137" s="126">
        <v>10</v>
      </c>
      <c r="B137" s="202">
        <f t="shared" si="48"/>
        <v>43739</v>
      </c>
      <c r="C137" s="226">
        <f t="shared" si="52"/>
        <v>43774</v>
      </c>
      <c r="D137" s="226">
        <f t="shared" si="52"/>
        <v>43789</v>
      </c>
      <c r="E137" s="54" t="s">
        <v>15</v>
      </c>
      <c r="F137" s="163">
        <v>9</v>
      </c>
      <c r="G137" s="205">
        <v>5</v>
      </c>
      <c r="H137" s="206">
        <f t="shared" si="59"/>
        <v>798.4</v>
      </c>
      <c r="I137" s="206">
        <f t="shared" si="56"/>
        <v>564.18908876700141</v>
      </c>
      <c r="J137" s="207">
        <f t="shared" si="49"/>
        <v>2820.9454438350072</v>
      </c>
      <c r="K137" s="214">
        <f t="shared" si="58"/>
        <v>3992</v>
      </c>
      <c r="L137" s="213">
        <f t="shared" si="57"/>
        <v>-1171.0545561649928</v>
      </c>
      <c r="M137" s="210">
        <f t="shared" si="33"/>
        <v>-73.924633651323902</v>
      </c>
      <c r="N137" s="211">
        <f t="shared" si="34"/>
        <v>-1244.9791898163166</v>
      </c>
      <c r="O137" s="210">
        <f t="shared" si="35"/>
        <v>0</v>
      </c>
      <c r="P137" s="210">
        <f t="shared" si="36"/>
        <v>0</v>
      </c>
      <c r="Q137" s="210">
        <v>0</v>
      </c>
      <c r="R137" s="211">
        <f t="shared" si="37"/>
        <v>-1244.9791898163166</v>
      </c>
    </row>
    <row r="138" spans="1:18" x14ac:dyDescent="0.25">
      <c r="A138" s="163">
        <v>11</v>
      </c>
      <c r="B138" s="202">
        <f t="shared" si="48"/>
        <v>43770</v>
      </c>
      <c r="C138" s="226">
        <f t="shared" si="52"/>
        <v>43803</v>
      </c>
      <c r="D138" s="226">
        <f t="shared" si="52"/>
        <v>43818</v>
      </c>
      <c r="E138" s="54" t="s">
        <v>15</v>
      </c>
      <c r="F138" s="163">
        <v>9</v>
      </c>
      <c r="G138" s="205">
        <v>7</v>
      </c>
      <c r="H138" s="206">
        <f t="shared" si="59"/>
        <v>798.4</v>
      </c>
      <c r="I138" s="206">
        <f t="shared" si="56"/>
        <v>564.18908876700141</v>
      </c>
      <c r="J138" s="207">
        <f t="shared" si="49"/>
        <v>3949.3236213690097</v>
      </c>
      <c r="K138" s="214">
        <f t="shared" si="58"/>
        <v>5588.8</v>
      </c>
      <c r="L138" s="213">
        <f t="shared" si="57"/>
        <v>-1639.4763786309904</v>
      </c>
      <c r="M138" s="210">
        <f t="shared" si="33"/>
        <v>-103.49448711185347</v>
      </c>
      <c r="N138" s="211">
        <f t="shared" si="34"/>
        <v>-1742.9708657428439</v>
      </c>
      <c r="O138" s="210">
        <f t="shared" si="35"/>
        <v>0</v>
      </c>
      <c r="P138" s="210">
        <f t="shared" si="36"/>
        <v>0</v>
      </c>
      <c r="Q138" s="210">
        <v>0</v>
      </c>
      <c r="R138" s="211">
        <f t="shared" si="37"/>
        <v>-1742.9708657428439</v>
      </c>
    </row>
    <row r="139" spans="1:18" s="230" customFormat="1" x14ac:dyDescent="0.25">
      <c r="A139" s="163">
        <v>12</v>
      </c>
      <c r="B139" s="228">
        <f t="shared" si="48"/>
        <v>43800</v>
      </c>
      <c r="C139" s="226">
        <f t="shared" si="52"/>
        <v>43833</v>
      </c>
      <c r="D139" s="226">
        <f t="shared" si="52"/>
        <v>43850</v>
      </c>
      <c r="E139" s="229" t="s">
        <v>15</v>
      </c>
      <c r="F139" s="174">
        <v>9</v>
      </c>
      <c r="G139" s="217">
        <v>7</v>
      </c>
      <c r="H139" s="218">
        <f t="shared" si="59"/>
        <v>798.4</v>
      </c>
      <c r="I139" s="218">
        <f t="shared" si="56"/>
        <v>564.18908876700141</v>
      </c>
      <c r="J139" s="219">
        <f t="shared" si="49"/>
        <v>3949.3236213690097</v>
      </c>
      <c r="K139" s="220">
        <f t="shared" si="58"/>
        <v>5588.8</v>
      </c>
      <c r="L139" s="221">
        <f t="shared" si="57"/>
        <v>-1639.4763786309904</v>
      </c>
      <c r="M139" s="210">
        <f t="shared" si="33"/>
        <v>-103.49448711185347</v>
      </c>
      <c r="N139" s="211">
        <f t="shared" si="34"/>
        <v>-1742.9708657428439</v>
      </c>
      <c r="O139" s="210">
        <f t="shared" si="35"/>
        <v>0</v>
      </c>
      <c r="P139" s="210">
        <f t="shared" si="36"/>
        <v>0</v>
      </c>
      <c r="Q139" s="210">
        <v>0</v>
      </c>
      <c r="R139" s="211">
        <f t="shared" si="37"/>
        <v>-1742.9708657428439</v>
      </c>
    </row>
    <row r="140" spans="1:18" x14ac:dyDescent="0.25">
      <c r="A140" s="126">
        <v>1</v>
      </c>
      <c r="B140" s="202">
        <f t="shared" si="48"/>
        <v>43466</v>
      </c>
      <c r="C140" s="223">
        <f t="shared" ref="C140:D151" si="60">+C128</f>
        <v>43501</v>
      </c>
      <c r="D140" s="223">
        <f t="shared" si="60"/>
        <v>43516</v>
      </c>
      <c r="E140" s="233" t="s">
        <v>16</v>
      </c>
      <c r="F140" s="163">
        <v>9</v>
      </c>
      <c r="G140" s="205">
        <v>1</v>
      </c>
      <c r="H140" s="206">
        <f t="shared" ref="H140:H146" si="61">+$K$6</f>
        <v>904.88</v>
      </c>
      <c r="I140" s="206">
        <f t="shared" si="56"/>
        <v>564.18908876700141</v>
      </c>
      <c r="J140" s="207">
        <f t="shared" si="49"/>
        <v>564.18908876700141</v>
      </c>
      <c r="K140" s="208">
        <f t="shared" si="58"/>
        <v>904.88</v>
      </c>
      <c r="L140" s="209">
        <f t="shared" si="57"/>
        <v>-340.69091123299859</v>
      </c>
      <c r="M140" s="210">
        <f t="shared" si="33"/>
        <v>-14.784926730264781</v>
      </c>
      <c r="N140" s="211">
        <f t="shared" si="34"/>
        <v>-355.47583796326336</v>
      </c>
      <c r="O140" s="210">
        <f t="shared" si="35"/>
        <v>0</v>
      </c>
      <c r="P140" s="210">
        <f t="shared" si="36"/>
        <v>0</v>
      </c>
      <c r="Q140" s="210">
        <v>0</v>
      </c>
      <c r="R140" s="211">
        <f t="shared" si="37"/>
        <v>-355.47583796326336</v>
      </c>
    </row>
    <row r="141" spans="1:18" x14ac:dyDescent="0.25">
      <c r="A141" s="163">
        <v>2</v>
      </c>
      <c r="B141" s="202">
        <f t="shared" si="48"/>
        <v>43497</v>
      </c>
      <c r="C141" s="226">
        <f t="shared" si="60"/>
        <v>43529</v>
      </c>
      <c r="D141" s="226">
        <f t="shared" si="60"/>
        <v>43544</v>
      </c>
      <c r="E141" s="54" t="s">
        <v>16</v>
      </c>
      <c r="F141" s="163">
        <v>9</v>
      </c>
      <c r="G141" s="205">
        <v>4</v>
      </c>
      <c r="H141" s="206">
        <f t="shared" si="61"/>
        <v>904.88</v>
      </c>
      <c r="I141" s="206">
        <f t="shared" si="56"/>
        <v>564.18908876700141</v>
      </c>
      <c r="J141" s="207">
        <f t="shared" si="49"/>
        <v>2256.7563550680056</v>
      </c>
      <c r="K141" s="208">
        <f t="shared" si="58"/>
        <v>3619.52</v>
      </c>
      <c r="L141" s="209">
        <f t="shared" si="57"/>
        <v>-1362.7636449319943</v>
      </c>
      <c r="M141" s="210">
        <f t="shared" si="33"/>
        <v>-59.139706921059123</v>
      </c>
      <c r="N141" s="211">
        <f t="shared" si="34"/>
        <v>-1421.9033518530534</v>
      </c>
      <c r="O141" s="210">
        <f t="shared" si="35"/>
        <v>0</v>
      </c>
      <c r="P141" s="210">
        <f t="shared" si="36"/>
        <v>0</v>
      </c>
      <c r="Q141" s="210">
        <v>0</v>
      </c>
      <c r="R141" s="211">
        <f t="shared" si="37"/>
        <v>-1421.9033518530534</v>
      </c>
    </row>
    <row r="142" spans="1:18" x14ac:dyDescent="0.25">
      <c r="A142" s="163">
        <v>3</v>
      </c>
      <c r="B142" s="202">
        <f t="shared" si="48"/>
        <v>43525</v>
      </c>
      <c r="C142" s="226">
        <f t="shared" si="60"/>
        <v>43558</v>
      </c>
      <c r="D142" s="226">
        <f t="shared" si="60"/>
        <v>43573</v>
      </c>
      <c r="E142" s="54" t="s">
        <v>16</v>
      </c>
      <c r="F142" s="163">
        <v>9</v>
      </c>
      <c r="G142" s="205">
        <v>1</v>
      </c>
      <c r="H142" s="206">
        <f t="shared" si="61"/>
        <v>904.88</v>
      </c>
      <c r="I142" s="206">
        <f t="shared" si="56"/>
        <v>564.18908876700141</v>
      </c>
      <c r="J142" s="207">
        <f t="shared" si="49"/>
        <v>564.18908876700141</v>
      </c>
      <c r="K142" s="208">
        <f t="shared" si="58"/>
        <v>904.88</v>
      </c>
      <c r="L142" s="209">
        <f>+J142-K142</f>
        <v>-340.69091123299859</v>
      </c>
      <c r="M142" s="210">
        <f t="shared" si="33"/>
        <v>-14.784926730264781</v>
      </c>
      <c r="N142" s="211">
        <f t="shared" si="34"/>
        <v>-355.47583796326336</v>
      </c>
      <c r="O142" s="210">
        <f t="shared" si="35"/>
        <v>0</v>
      </c>
      <c r="P142" s="210">
        <f t="shared" si="36"/>
        <v>0</v>
      </c>
      <c r="Q142" s="210">
        <v>0</v>
      </c>
      <c r="R142" s="211">
        <f t="shared" si="37"/>
        <v>-355.47583796326336</v>
      </c>
    </row>
    <row r="143" spans="1:18" x14ac:dyDescent="0.25">
      <c r="A143" s="126">
        <v>4</v>
      </c>
      <c r="B143" s="202">
        <f t="shared" si="48"/>
        <v>43556</v>
      </c>
      <c r="C143" s="226">
        <f t="shared" si="60"/>
        <v>43588</v>
      </c>
      <c r="D143" s="226">
        <f t="shared" si="60"/>
        <v>43605</v>
      </c>
      <c r="E143" s="54" t="s">
        <v>16</v>
      </c>
      <c r="F143" s="163">
        <v>9</v>
      </c>
      <c r="G143" s="205">
        <v>3</v>
      </c>
      <c r="H143" s="206">
        <f t="shared" si="61"/>
        <v>904.88</v>
      </c>
      <c r="I143" s="206">
        <f t="shared" si="56"/>
        <v>564.18908876700141</v>
      </c>
      <c r="J143" s="207">
        <f t="shared" si="49"/>
        <v>1692.5672663010041</v>
      </c>
      <c r="K143" s="208">
        <f t="shared" si="58"/>
        <v>2714.64</v>
      </c>
      <c r="L143" s="209">
        <f t="shared" ref="L143:L153" si="62">+J143-K143</f>
        <v>-1022.0727336989958</v>
      </c>
      <c r="M143" s="210">
        <f t="shared" si="33"/>
        <v>-44.354780190794344</v>
      </c>
      <c r="N143" s="211">
        <f t="shared" si="34"/>
        <v>-1066.4275138897901</v>
      </c>
      <c r="O143" s="210">
        <f t="shared" si="35"/>
        <v>0</v>
      </c>
      <c r="P143" s="210">
        <f t="shared" si="36"/>
        <v>0</v>
      </c>
      <c r="Q143" s="210">
        <v>0</v>
      </c>
      <c r="R143" s="211">
        <f t="shared" si="37"/>
        <v>-1066.4275138897901</v>
      </c>
    </row>
    <row r="144" spans="1:18" x14ac:dyDescent="0.25">
      <c r="A144" s="163">
        <v>5</v>
      </c>
      <c r="B144" s="202">
        <f t="shared" si="48"/>
        <v>43586</v>
      </c>
      <c r="C144" s="226">
        <f t="shared" si="60"/>
        <v>43621</v>
      </c>
      <c r="D144" s="226">
        <f t="shared" si="60"/>
        <v>43636</v>
      </c>
      <c r="E144" s="54" t="s">
        <v>16</v>
      </c>
      <c r="F144" s="163">
        <v>9</v>
      </c>
      <c r="G144" s="205">
        <v>3</v>
      </c>
      <c r="H144" s="206">
        <f t="shared" si="61"/>
        <v>904.88</v>
      </c>
      <c r="I144" s="206">
        <f t="shared" si="56"/>
        <v>564.18908876700141</v>
      </c>
      <c r="J144" s="207">
        <f t="shared" si="49"/>
        <v>1692.5672663010041</v>
      </c>
      <c r="K144" s="208">
        <f t="shared" si="58"/>
        <v>2714.64</v>
      </c>
      <c r="L144" s="209">
        <f t="shared" si="62"/>
        <v>-1022.0727336989958</v>
      </c>
      <c r="M144" s="210">
        <f t="shared" si="33"/>
        <v>-44.354780190794344</v>
      </c>
      <c r="N144" s="211">
        <f t="shared" si="34"/>
        <v>-1066.4275138897901</v>
      </c>
      <c r="O144" s="210">
        <f t="shared" si="35"/>
        <v>0</v>
      </c>
      <c r="P144" s="210">
        <f t="shared" si="36"/>
        <v>0</v>
      </c>
      <c r="Q144" s="210">
        <v>0</v>
      </c>
      <c r="R144" s="211">
        <f t="shared" si="37"/>
        <v>-1066.4275138897901</v>
      </c>
    </row>
    <row r="145" spans="1:19" x14ac:dyDescent="0.25">
      <c r="A145" s="163">
        <v>6</v>
      </c>
      <c r="B145" s="202">
        <f t="shared" si="48"/>
        <v>43617</v>
      </c>
      <c r="C145" s="226">
        <f t="shared" si="60"/>
        <v>43649</v>
      </c>
      <c r="D145" s="226">
        <f t="shared" si="60"/>
        <v>43664</v>
      </c>
      <c r="E145" s="54" t="s">
        <v>16</v>
      </c>
      <c r="F145" s="163">
        <v>9</v>
      </c>
      <c r="G145" s="205">
        <v>2</v>
      </c>
      <c r="H145" s="206">
        <f t="shared" si="61"/>
        <v>904.88</v>
      </c>
      <c r="I145" s="206">
        <f t="shared" si="56"/>
        <v>564.18908876700141</v>
      </c>
      <c r="J145" s="207">
        <f t="shared" si="49"/>
        <v>1128.3781775340028</v>
      </c>
      <c r="K145" s="208">
        <f t="shared" si="58"/>
        <v>1809.76</v>
      </c>
      <c r="L145" s="213">
        <f t="shared" si="62"/>
        <v>-681.38182246599717</v>
      </c>
      <c r="M145" s="210">
        <f t="shared" si="33"/>
        <v>-29.569853460529561</v>
      </c>
      <c r="N145" s="211">
        <f t="shared" si="34"/>
        <v>-710.95167592652672</v>
      </c>
      <c r="O145" s="210">
        <f t="shared" si="35"/>
        <v>0</v>
      </c>
      <c r="P145" s="210">
        <f t="shared" si="36"/>
        <v>0</v>
      </c>
      <c r="Q145" s="210">
        <v>0</v>
      </c>
      <c r="R145" s="211">
        <f t="shared" si="37"/>
        <v>-710.95167592652672</v>
      </c>
    </row>
    <row r="146" spans="1:19" x14ac:dyDescent="0.25">
      <c r="A146" s="126">
        <v>7</v>
      </c>
      <c r="B146" s="202">
        <f t="shared" si="48"/>
        <v>43647</v>
      </c>
      <c r="C146" s="226">
        <f t="shared" si="60"/>
        <v>43682</v>
      </c>
      <c r="D146" s="226">
        <f t="shared" si="60"/>
        <v>43697</v>
      </c>
      <c r="E146" s="54" t="s">
        <v>16</v>
      </c>
      <c r="F146" s="163">
        <v>9</v>
      </c>
      <c r="G146" s="205">
        <v>6</v>
      </c>
      <c r="H146" s="206">
        <f t="shared" si="61"/>
        <v>904.88</v>
      </c>
      <c r="I146" s="206">
        <f t="shared" si="56"/>
        <v>564.18908876700141</v>
      </c>
      <c r="J146" s="207">
        <f t="shared" si="49"/>
        <v>3385.1345326020082</v>
      </c>
      <c r="K146" s="214">
        <f t="shared" si="58"/>
        <v>5429.28</v>
      </c>
      <c r="L146" s="213">
        <f t="shared" si="62"/>
        <v>-2044.1454673979915</v>
      </c>
      <c r="M146" s="210">
        <f t="shared" si="33"/>
        <v>-88.709560381588688</v>
      </c>
      <c r="N146" s="211">
        <f t="shared" si="34"/>
        <v>-2132.8550277795803</v>
      </c>
      <c r="O146" s="210">
        <f t="shared" si="35"/>
        <v>0</v>
      </c>
      <c r="P146" s="210">
        <f t="shared" si="36"/>
        <v>0</v>
      </c>
      <c r="Q146" s="210">
        <v>0</v>
      </c>
      <c r="R146" s="211">
        <f t="shared" si="37"/>
        <v>-2132.8550277795803</v>
      </c>
    </row>
    <row r="147" spans="1:19" x14ac:dyDescent="0.25">
      <c r="A147" s="163">
        <v>8</v>
      </c>
      <c r="B147" s="202">
        <f t="shared" si="48"/>
        <v>43678</v>
      </c>
      <c r="C147" s="226">
        <f t="shared" si="60"/>
        <v>43712</v>
      </c>
      <c r="D147" s="226">
        <f t="shared" si="60"/>
        <v>43727</v>
      </c>
      <c r="E147" s="54" t="s">
        <v>16</v>
      </c>
      <c r="F147" s="163">
        <v>9</v>
      </c>
      <c r="G147" s="205">
        <v>4</v>
      </c>
      <c r="H147" s="206">
        <f t="shared" ref="H147:H151" si="63">$K$3</f>
        <v>798.4</v>
      </c>
      <c r="I147" s="206">
        <f t="shared" si="56"/>
        <v>564.18908876700141</v>
      </c>
      <c r="J147" s="207">
        <f t="shared" si="49"/>
        <v>2256.7563550680056</v>
      </c>
      <c r="K147" s="214">
        <f t="shared" si="58"/>
        <v>3193.6</v>
      </c>
      <c r="L147" s="213">
        <f t="shared" si="62"/>
        <v>-936.84364493199428</v>
      </c>
      <c r="M147" s="210">
        <f t="shared" si="33"/>
        <v>-59.139706921059123</v>
      </c>
      <c r="N147" s="211">
        <f t="shared" si="34"/>
        <v>-995.98335185305336</v>
      </c>
      <c r="O147" s="210">
        <f t="shared" si="35"/>
        <v>0</v>
      </c>
      <c r="P147" s="210">
        <f t="shared" si="36"/>
        <v>0</v>
      </c>
      <c r="Q147" s="210">
        <v>0</v>
      </c>
      <c r="R147" s="211">
        <f t="shared" si="37"/>
        <v>-995.98335185305336</v>
      </c>
    </row>
    <row r="148" spans="1:19" x14ac:dyDescent="0.25">
      <c r="A148" s="163">
        <v>9</v>
      </c>
      <c r="B148" s="202">
        <f t="shared" si="48"/>
        <v>43709</v>
      </c>
      <c r="C148" s="226">
        <f t="shared" si="60"/>
        <v>43741</v>
      </c>
      <c r="D148" s="226">
        <f t="shared" si="60"/>
        <v>43756</v>
      </c>
      <c r="E148" s="54" t="s">
        <v>16</v>
      </c>
      <c r="F148" s="163">
        <v>9</v>
      </c>
      <c r="G148" s="205">
        <v>3</v>
      </c>
      <c r="H148" s="206">
        <f t="shared" si="63"/>
        <v>798.4</v>
      </c>
      <c r="I148" s="206">
        <f t="shared" ref="I148:I179" si="64">$J$3</f>
        <v>564.18908876700141</v>
      </c>
      <c r="J148" s="207">
        <f t="shared" si="49"/>
        <v>1692.5672663010041</v>
      </c>
      <c r="K148" s="214">
        <f t="shared" si="58"/>
        <v>2395.1999999999998</v>
      </c>
      <c r="L148" s="213">
        <f t="shared" si="62"/>
        <v>-702.63273369899571</v>
      </c>
      <c r="M148" s="210">
        <f t="shared" si="33"/>
        <v>-44.354780190794344</v>
      </c>
      <c r="N148" s="211">
        <f t="shared" si="34"/>
        <v>-746.98751388979008</v>
      </c>
      <c r="O148" s="210">
        <f t="shared" si="35"/>
        <v>0</v>
      </c>
      <c r="P148" s="210">
        <f t="shared" si="36"/>
        <v>0</v>
      </c>
      <c r="Q148" s="210">
        <v>0</v>
      </c>
      <c r="R148" s="211">
        <f t="shared" si="37"/>
        <v>-746.98751388979008</v>
      </c>
    </row>
    <row r="149" spans="1:19" x14ac:dyDescent="0.25">
      <c r="A149" s="126">
        <v>10</v>
      </c>
      <c r="B149" s="202">
        <f t="shared" ref="B149:B211" si="65">DATE($R$1,A149,1)</f>
        <v>43739</v>
      </c>
      <c r="C149" s="226">
        <f t="shared" si="60"/>
        <v>43774</v>
      </c>
      <c r="D149" s="226">
        <f t="shared" si="60"/>
        <v>43789</v>
      </c>
      <c r="E149" s="54" t="s">
        <v>16</v>
      </c>
      <c r="F149" s="163">
        <v>9</v>
      </c>
      <c r="G149" s="205">
        <v>4</v>
      </c>
      <c r="H149" s="206">
        <f t="shared" si="63"/>
        <v>798.4</v>
      </c>
      <c r="I149" s="206">
        <f t="shared" si="64"/>
        <v>564.18908876700141</v>
      </c>
      <c r="J149" s="207">
        <f t="shared" ref="J149:J211" si="66">+$G149*I149</f>
        <v>2256.7563550680056</v>
      </c>
      <c r="K149" s="214">
        <f t="shared" si="58"/>
        <v>3193.6</v>
      </c>
      <c r="L149" s="213">
        <f t="shared" si="62"/>
        <v>-936.84364493199428</v>
      </c>
      <c r="M149" s="210">
        <f t="shared" ref="M149:M211" si="67">G149/$G$212*$M$14</f>
        <v>-59.139706921059123</v>
      </c>
      <c r="N149" s="211">
        <f t="shared" ref="N149:N211" si="68">SUM(L149:M149)</f>
        <v>-995.98335185305336</v>
      </c>
      <c r="O149" s="210">
        <f t="shared" ref="O149:O211" si="69">+$P$3</f>
        <v>0</v>
      </c>
      <c r="P149" s="210">
        <f t="shared" ref="P149:P211" si="70">+G149*O149</f>
        <v>0</v>
      </c>
      <c r="Q149" s="210">
        <v>0</v>
      </c>
      <c r="R149" s="211">
        <f t="shared" ref="R149:R211" si="71">+N149-Q149</f>
        <v>-995.98335185305336</v>
      </c>
    </row>
    <row r="150" spans="1:19" x14ac:dyDescent="0.25">
      <c r="A150" s="163">
        <v>11</v>
      </c>
      <c r="B150" s="202">
        <f t="shared" si="65"/>
        <v>43770</v>
      </c>
      <c r="C150" s="226">
        <f t="shared" si="60"/>
        <v>43803</v>
      </c>
      <c r="D150" s="226">
        <f t="shared" si="60"/>
        <v>43818</v>
      </c>
      <c r="E150" s="54" t="s">
        <v>16</v>
      </c>
      <c r="F150" s="163">
        <v>9</v>
      </c>
      <c r="G150" s="205">
        <v>4</v>
      </c>
      <c r="H150" s="206">
        <f t="shared" si="63"/>
        <v>798.4</v>
      </c>
      <c r="I150" s="206">
        <f t="shared" si="64"/>
        <v>564.18908876700141</v>
      </c>
      <c r="J150" s="207">
        <f t="shared" si="66"/>
        <v>2256.7563550680056</v>
      </c>
      <c r="K150" s="214">
        <f t="shared" si="58"/>
        <v>3193.6</v>
      </c>
      <c r="L150" s="213">
        <f t="shared" si="62"/>
        <v>-936.84364493199428</v>
      </c>
      <c r="M150" s="210">
        <f t="shared" si="67"/>
        <v>-59.139706921059123</v>
      </c>
      <c r="N150" s="211">
        <f t="shared" si="68"/>
        <v>-995.98335185305336</v>
      </c>
      <c r="O150" s="210">
        <f t="shared" si="69"/>
        <v>0</v>
      </c>
      <c r="P150" s="210">
        <f t="shared" si="70"/>
        <v>0</v>
      </c>
      <c r="Q150" s="210">
        <v>0</v>
      </c>
      <c r="R150" s="211">
        <f t="shared" si="71"/>
        <v>-995.98335185305336</v>
      </c>
    </row>
    <row r="151" spans="1:19" s="230" customFormat="1" x14ac:dyDescent="0.25">
      <c r="A151" s="163">
        <v>12</v>
      </c>
      <c r="B151" s="228">
        <f t="shared" si="65"/>
        <v>43800</v>
      </c>
      <c r="C151" s="226">
        <f t="shared" si="60"/>
        <v>43833</v>
      </c>
      <c r="D151" s="226">
        <f t="shared" si="60"/>
        <v>43850</v>
      </c>
      <c r="E151" s="229" t="s">
        <v>16</v>
      </c>
      <c r="F151" s="174">
        <v>9</v>
      </c>
      <c r="G151" s="217">
        <v>4</v>
      </c>
      <c r="H151" s="218">
        <f t="shared" si="63"/>
        <v>798.4</v>
      </c>
      <c r="I151" s="218">
        <f t="shared" si="64"/>
        <v>564.18908876700141</v>
      </c>
      <c r="J151" s="219">
        <f t="shared" si="66"/>
        <v>2256.7563550680056</v>
      </c>
      <c r="K151" s="220">
        <f t="shared" si="58"/>
        <v>3193.6</v>
      </c>
      <c r="L151" s="221">
        <f t="shared" si="62"/>
        <v>-936.84364493199428</v>
      </c>
      <c r="M151" s="210">
        <f t="shared" si="67"/>
        <v>-59.139706921059123</v>
      </c>
      <c r="N151" s="211">
        <f t="shared" si="68"/>
        <v>-995.98335185305336</v>
      </c>
      <c r="O151" s="210">
        <f t="shared" si="69"/>
        <v>0</v>
      </c>
      <c r="P151" s="210">
        <f t="shared" si="70"/>
        <v>0</v>
      </c>
      <c r="Q151" s="210">
        <v>0</v>
      </c>
      <c r="R151" s="211">
        <f t="shared" si="71"/>
        <v>-995.98335185305336</v>
      </c>
    </row>
    <row r="152" spans="1:19" x14ac:dyDescent="0.25">
      <c r="A152" s="126">
        <v>1</v>
      </c>
      <c r="B152" s="202">
        <f t="shared" si="65"/>
        <v>43466</v>
      </c>
      <c r="C152" s="223">
        <f t="shared" ref="C152:D171" si="72">+C140</f>
        <v>43501</v>
      </c>
      <c r="D152" s="223">
        <f t="shared" si="72"/>
        <v>43516</v>
      </c>
      <c r="E152" s="233" t="s">
        <v>56</v>
      </c>
      <c r="F152" s="126">
        <v>9</v>
      </c>
      <c r="G152" s="205">
        <v>108</v>
      </c>
      <c r="H152" s="206">
        <f t="shared" ref="H152:H158" si="73">+$K$6</f>
        <v>904.88</v>
      </c>
      <c r="I152" s="206">
        <f t="shared" si="64"/>
        <v>564.18908876700141</v>
      </c>
      <c r="J152" s="207">
        <f t="shared" si="66"/>
        <v>60932.42158683615</v>
      </c>
      <c r="K152" s="208">
        <f t="shared" si="58"/>
        <v>97727.039999999994</v>
      </c>
      <c r="L152" s="209">
        <f t="shared" si="62"/>
        <v>-36794.618413163844</v>
      </c>
      <c r="M152" s="210">
        <f t="shared" si="67"/>
        <v>-1596.7720868685965</v>
      </c>
      <c r="N152" s="211">
        <f t="shared" si="68"/>
        <v>-38391.390500032438</v>
      </c>
      <c r="O152" s="210">
        <f t="shared" si="69"/>
        <v>0</v>
      </c>
      <c r="P152" s="210">
        <f t="shared" si="70"/>
        <v>0</v>
      </c>
      <c r="Q152" s="210">
        <v>0</v>
      </c>
      <c r="R152" s="211">
        <f t="shared" si="71"/>
        <v>-38391.390500032438</v>
      </c>
    </row>
    <row r="153" spans="1:19" x14ac:dyDescent="0.25">
      <c r="A153" s="163">
        <v>2</v>
      </c>
      <c r="B153" s="202">
        <f t="shared" si="65"/>
        <v>43497</v>
      </c>
      <c r="C153" s="226">
        <f t="shared" si="72"/>
        <v>43529</v>
      </c>
      <c r="D153" s="226">
        <f t="shared" si="72"/>
        <v>43544</v>
      </c>
      <c r="E153" s="234" t="s">
        <v>56</v>
      </c>
      <c r="F153" s="163">
        <v>9</v>
      </c>
      <c r="G153" s="205">
        <v>116</v>
      </c>
      <c r="H153" s="206">
        <f t="shared" si="73"/>
        <v>904.88</v>
      </c>
      <c r="I153" s="206">
        <f t="shared" si="64"/>
        <v>564.18908876700141</v>
      </c>
      <c r="J153" s="207">
        <f t="shared" si="66"/>
        <v>65445.934296972162</v>
      </c>
      <c r="K153" s="208">
        <f t="shared" si="58"/>
        <v>104966.08</v>
      </c>
      <c r="L153" s="209">
        <f t="shared" si="62"/>
        <v>-39520.14570302784</v>
      </c>
      <c r="M153" s="210">
        <f t="shared" si="67"/>
        <v>-1715.0515007107147</v>
      </c>
      <c r="N153" s="211">
        <f t="shared" si="68"/>
        <v>-41235.197203738557</v>
      </c>
      <c r="O153" s="210">
        <f t="shared" si="69"/>
        <v>0</v>
      </c>
      <c r="P153" s="210">
        <f t="shared" si="70"/>
        <v>0</v>
      </c>
      <c r="Q153" s="210">
        <v>0</v>
      </c>
      <c r="R153" s="211">
        <f t="shared" si="71"/>
        <v>-41235.197203738557</v>
      </c>
    </row>
    <row r="154" spans="1:19" x14ac:dyDescent="0.25">
      <c r="A154" s="163">
        <v>3</v>
      </c>
      <c r="B154" s="202">
        <f t="shared" si="65"/>
        <v>43525</v>
      </c>
      <c r="C154" s="226">
        <f t="shared" si="72"/>
        <v>43558</v>
      </c>
      <c r="D154" s="226">
        <f t="shared" si="72"/>
        <v>43573</v>
      </c>
      <c r="E154" s="234" t="s">
        <v>56</v>
      </c>
      <c r="F154" s="163">
        <v>9</v>
      </c>
      <c r="G154" s="205">
        <v>115</v>
      </c>
      <c r="H154" s="206">
        <f t="shared" si="73"/>
        <v>904.88</v>
      </c>
      <c r="I154" s="206">
        <f t="shared" si="64"/>
        <v>564.18908876700141</v>
      </c>
      <c r="J154" s="207">
        <f t="shared" si="66"/>
        <v>64881.74520820516</v>
      </c>
      <c r="K154" s="208">
        <f t="shared" si="58"/>
        <v>104061.2</v>
      </c>
      <c r="L154" s="209">
        <f>+J154-K154</f>
        <v>-39179.454791794837</v>
      </c>
      <c r="M154" s="210">
        <f t="shared" si="67"/>
        <v>-1700.2665739804497</v>
      </c>
      <c r="N154" s="211">
        <f t="shared" si="68"/>
        <v>-40879.721365775287</v>
      </c>
      <c r="O154" s="210">
        <f t="shared" si="69"/>
        <v>0</v>
      </c>
      <c r="P154" s="210">
        <f t="shared" si="70"/>
        <v>0</v>
      </c>
      <c r="Q154" s="210">
        <v>0</v>
      </c>
      <c r="R154" s="211">
        <f t="shared" si="71"/>
        <v>-40879.721365775287</v>
      </c>
    </row>
    <row r="155" spans="1:19" x14ac:dyDescent="0.25">
      <c r="A155" s="126">
        <v>4</v>
      </c>
      <c r="B155" s="202">
        <f t="shared" si="65"/>
        <v>43556</v>
      </c>
      <c r="C155" s="226">
        <f t="shared" si="72"/>
        <v>43588</v>
      </c>
      <c r="D155" s="226">
        <f t="shared" si="72"/>
        <v>43605</v>
      </c>
      <c r="E155" s="234" t="s">
        <v>56</v>
      </c>
      <c r="F155" s="163">
        <v>9</v>
      </c>
      <c r="G155" s="205">
        <v>96</v>
      </c>
      <c r="H155" s="206">
        <f t="shared" si="73"/>
        <v>904.88</v>
      </c>
      <c r="I155" s="206">
        <f t="shared" si="64"/>
        <v>564.18908876700141</v>
      </c>
      <c r="J155" s="207">
        <f t="shared" si="66"/>
        <v>54162.152521632132</v>
      </c>
      <c r="K155" s="208">
        <f t="shared" si="58"/>
        <v>86868.479999999996</v>
      </c>
      <c r="L155" s="209">
        <f t="shared" ref="L155:L165" si="74">+J155-K155</f>
        <v>-32706.327478367864</v>
      </c>
      <c r="M155" s="210">
        <f t="shared" si="67"/>
        <v>-1419.352966105419</v>
      </c>
      <c r="N155" s="211">
        <f t="shared" si="68"/>
        <v>-34125.680444473284</v>
      </c>
      <c r="O155" s="210">
        <f t="shared" si="69"/>
        <v>0</v>
      </c>
      <c r="P155" s="210">
        <f t="shared" si="70"/>
        <v>0</v>
      </c>
      <c r="Q155" s="210">
        <v>0</v>
      </c>
      <c r="R155" s="211">
        <f t="shared" si="71"/>
        <v>-34125.680444473284</v>
      </c>
    </row>
    <row r="156" spans="1:19" x14ac:dyDescent="0.25">
      <c r="A156" s="163">
        <v>5</v>
      </c>
      <c r="B156" s="202">
        <f t="shared" si="65"/>
        <v>43586</v>
      </c>
      <c r="C156" s="226">
        <f t="shared" si="72"/>
        <v>43621</v>
      </c>
      <c r="D156" s="226">
        <f t="shared" si="72"/>
        <v>43636</v>
      </c>
      <c r="E156" s="234" t="s">
        <v>56</v>
      </c>
      <c r="F156" s="163">
        <v>9</v>
      </c>
      <c r="G156" s="205">
        <v>127</v>
      </c>
      <c r="H156" s="206">
        <f t="shared" si="73"/>
        <v>904.88</v>
      </c>
      <c r="I156" s="206">
        <f t="shared" si="64"/>
        <v>564.18908876700141</v>
      </c>
      <c r="J156" s="207">
        <f t="shared" si="66"/>
        <v>71652.014273409179</v>
      </c>
      <c r="K156" s="208">
        <f t="shared" si="58"/>
        <v>114919.76</v>
      </c>
      <c r="L156" s="209">
        <f t="shared" si="74"/>
        <v>-43267.745726590816</v>
      </c>
      <c r="M156" s="210">
        <f t="shared" si="67"/>
        <v>-1877.6856947436272</v>
      </c>
      <c r="N156" s="211">
        <f t="shared" si="68"/>
        <v>-45145.431421334441</v>
      </c>
      <c r="O156" s="210">
        <f t="shared" si="69"/>
        <v>0</v>
      </c>
      <c r="P156" s="210">
        <f t="shared" si="70"/>
        <v>0</v>
      </c>
      <c r="Q156" s="210">
        <v>0</v>
      </c>
      <c r="R156" s="211">
        <f t="shared" si="71"/>
        <v>-45145.431421334441</v>
      </c>
    </row>
    <row r="157" spans="1:19" x14ac:dyDescent="0.25">
      <c r="A157" s="163">
        <v>6</v>
      </c>
      <c r="B157" s="202">
        <f t="shared" si="65"/>
        <v>43617</v>
      </c>
      <c r="C157" s="226">
        <f t="shared" si="72"/>
        <v>43649</v>
      </c>
      <c r="D157" s="226">
        <f t="shared" si="72"/>
        <v>43664</v>
      </c>
      <c r="E157" s="234" t="s">
        <v>56</v>
      </c>
      <c r="F157" s="163">
        <v>9</v>
      </c>
      <c r="G157" s="205">
        <v>143</v>
      </c>
      <c r="H157" s="206">
        <f t="shared" si="73"/>
        <v>904.88</v>
      </c>
      <c r="I157" s="206">
        <f t="shared" si="64"/>
        <v>564.18908876700141</v>
      </c>
      <c r="J157" s="207">
        <f t="shared" si="66"/>
        <v>80679.039693681203</v>
      </c>
      <c r="K157" s="208">
        <f t="shared" si="58"/>
        <v>129397.84</v>
      </c>
      <c r="L157" s="213">
        <f t="shared" si="74"/>
        <v>-48718.800306318793</v>
      </c>
      <c r="M157" s="210">
        <f t="shared" si="67"/>
        <v>-2114.2445224278636</v>
      </c>
      <c r="N157" s="211">
        <f t="shared" si="68"/>
        <v>-50833.044828746657</v>
      </c>
      <c r="O157" s="210">
        <f t="shared" si="69"/>
        <v>0</v>
      </c>
      <c r="P157" s="210">
        <f t="shared" si="70"/>
        <v>0</v>
      </c>
      <c r="Q157" s="210">
        <v>0</v>
      </c>
      <c r="R157" s="211">
        <f t="shared" si="71"/>
        <v>-50833.044828746657</v>
      </c>
    </row>
    <row r="158" spans="1:19" x14ac:dyDescent="0.25">
      <c r="A158" s="126">
        <v>7</v>
      </c>
      <c r="B158" s="202">
        <f t="shared" si="65"/>
        <v>43647</v>
      </c>
      <c r="C158" s="226">
        <f t="shared" si="72"/>
        <v>43682</v>
      </c>
      <c r="D158" s="226">
        <f t="shared" si="72"/>
        <v>43697</v>
      </c>
      <c r="E158" s="234" t="s">
        <v>56</v>
      </c>
      <c r="F158" s="163">
        <v>9</v>
      </c>
      <c r="G158" s="205">
        <v>153</v>
      </c>
      <c r="H158" s="206">
        <f t="shared" si="73"/>
        <v>904.88</v>
      </c>
      <c r="I158" s="206">
        <f t="shared" si="64"/>
        <v>564.18908876700141</v>
      </c>
      <c r="J158" s="207">
        <f t="shared" si="66"/>
        <v>86320.930581351218</v>
      </c>
      <c r="K158" s="214">
        <f t="shared" si="58"/>
        <v>138446.63999999998</v>
      </c>
      <c r="L158" s="213">
        <f t="shared" si="74"/>
        <v>-52125.709418648767</v>
      </c>
      <c r="M158" s="210">
        <f t="shared" si="67"/>
        <v>-2262.0937897305116</v>
      </c>
      <c r="N158" s="211">
        <f t="shared" si="68"/>
        <v>-54387.803208379279</v>
      </c>
      <c r="O158" s="210">
        <f t="shared" si="69"/>
        <v>0</v>
      </c>
      <c r="P158" s="210">
        <f t="shared" si="70"/>
        <v>0</v>
      </c>
      <c r="Q158" s="210">
        <v>0</v>
      </c>
      <c r="R158" s="211">
        <f t="shared" si="71"/>
        <v>-54387.803208379279</v>
      </c>
    </row>
    <row r="159" spans="1:19" x14ac:dyDescent="0.25">
      <c r="A159" s="163">
        <v>8</v>
      </c>
      <c r="B159" s="202">
        <f t="shared" si="65"/>
        <v>43678</v>
      </c>
      <c r="C159" s="226">
        <f t="shared" si="72"/>
        <v>43712</v>
      </c>
      <c r="D159" s="226">
        <f t="shared" si="72"/>
        <v>43727</v>
      </c>
      <c r="E159" s="234" t="s">
        <v>56</v>
      </c>
      <c r="F159" s="126">
        <v>9</v>
      </c>
      <c r="G159" s="205">
        <v>162</v>
      </c>
      <c r="H159" s="206">
        <f t="shared" ref="H159:H163" si="75">$K$3</f>
        <v>798.4</v>
      </c>
      <c r="I159" s="206">
        <f t="shared" si="64"/>
        <v>564.18908876700141</v>
      </c>
      <c r="J159" s="207">
        <f t="shared" si="66"/>
        <v>91398.632380254232</v>
      </c>
      <c r="K159" s="214">
        <f t="shared" si="58"/>
        <v>129340.8</v>
      </c>
      <c r="L159" s="213">
        <f t="shared" si="74"/>
        <v>-37942.167619745771</v>
      </c>
      <c r="M159" s="210">
        <f t="shared" si="67"/>
        <v>-2395.1581303028943</v>
      </c>
      <c r="N159" s="211">
        <f t="shared" si="68"/>
        <v>-40337.325750048665</v>
      </c>
      <c r="O159" s="210">
        <f t="shared" si="69"/>
        <v>0</v>
      </c>
      <c r="P159" s="210">
        <f t="shared" si="70"/>
        <v>0</v>
      </c>
      <c r="Q159" s="210">
        <v>0</v>
      </c>
      <c r="R159" s="211">
        <f t="shared" si="71"/>
        <v>-40337.325750048665</v>
      </c>
      <c r="S159" s="52"/>
    </row>
    <row r="160" spans="1:19" x14ac:dyDescent="0.25">
      <c r="A160" s="163">
        <v>9</v>
      </c>
      <c r="B160" s="202">
        <f t="shared" si="65"/>
        <v>43709</v>
      </c>
      <c r="C160" s="226">
        <f t="shared" si="72"/>
        <v>43741</v>
      </c>
      <c r="D160" s="226">
        <f t="shared" si="72"/>
        <v>43756</v>
      </c>
      <c r="E160" s="234" t="s">
        <v>56</v>
      </c>
      <c r="F160" s="126">
        <v>9</v>
      </c>
      <c r="G160" s="205">
        <v>145</v>
      </c>
      <c r="H160" s="206">
        <f t="shared" si="75"/>
        <v>798.4</v>
      </c>
      <c r="I160" s="206">
        <f t="shared" si="64"/>
        <v>564.18908876700141</v>
      </c>
      <c r="J160" s="207">
        <f t="shared" si="66"/>
        <v>81807.417871215206</v>
      </c>
      <c r="K160" s="214">
        <f t="shared" si="58"/>
        <v>115768</v>
      </c>
      <c r="L160" s="213">
        <f t="shared" si="74"/>
        <v>-33960.582128784794</v>
      </c>
      <c r="M160" s="210">
        <f t="shared" si="67"/>
        <v>-2143.8143758883934</v>
      </c>
      <c r="N160" s="211">
        <f t="shared" si="68"/>
        <v>-36104.39650467319</v>
      </c>
      <c r="O160" s="210">
        <f t="shared" si="69"/>
        <v>0</v>
      </c>
      <c r="P160" s="210">
        <f t="shared" si="70"/>
        <v>0</v>
      </c>
      <c r="Q160" s="210">
        <v>0</v>
      </c>
      <c r="R160" s="211">
        <f t="shared" si="71"/>
        <v>-36104.39650467319</v>
      </c>
    </row>
    <row r="161" spans="1:19" x14ac:dyDescent="0.25">
      <c r="A161" s="126">
        <v>10</v>
      </c>
      <c r="B161" s="202">
        <f t="shared" si="65"/>
        <v>43739</v>
      </c>
      <c r="C161" s="226">
        <f t="shared" si="72"/>
        <v>43774</v>
      </c>
      <c r="D161" s="226">
        <f t="shared" si="72"/>
        <v>43789</v>
      </c>
      <c r="E161" s="234" t="s">
        <v>56</v>
      </c>
      <c r="F161" s="126">
        <v>9</v>
      </c>
      <c r="G161" s="205">
        <v>134</v>
      </c>
      <c r="H161" s="206">
        <f t="shared" si="75"/>
        <v>798.4</v>
      </c>
      <c r="I161" s="206">
        <f t="shared" si="64"/>
        <v>564.18908876700141</v>
      </c>
      <c r="J161" s="207">
        <f t="shared" si="66"/>
        <v>75601.337894778189</v>
      </c>
      <c r="K161" s="214">
        <f t="shared" si="58"/>
        <v>106985.59999999999</v>
      </c>
      <c r="L161" s="213">
        <f t="shared" si="74"/>
        <v>-31384.262105221802</v>
      </c>
      <c r="M161" s="210">
        <f t="shared" si="67"/>
        <v>-1981.1801818554804</v>
      </c>
      <c r="N161" s="211">
        <f t="shared" si="68"/>
        <v>-33365.442287077283</v>
      </c>
      <c r="O161" s="210">
        <f t="shared" si="69"/>
        <v>0</v>
      </c>
      <c r="P161" s="210">
        <f t="shared" si="70"/>
        <v>0</v>
      </c>
      <c r="Q161" s="210">
        <v>0</v>
      </c>
      <c r="R161" s="211">
        <f t="shared" si="71"/>
        <v>-33365.442287077283</v>
      </c>
    </row>
    <row r="162" spans="1:19" x14ac:dyDescent="0.25">
      <c r="A162" s="163">
        <v>11</v>
      </c>
      <c r="B162" s="202">
        <f t="shared" si="65"/>
        <v>43770</v>
      </c>
      <c r="C162" s="226">
        <f t="shared" si="72"/>
        <v>43803</v>
      </c>
      <c r="D162" s="226">
        <f t="shared" si="72"/>
        <v>43818</v>
      </c>
      <c r="E162" s="234" t="s">
        <v>56</v>
      </c>
      <c r="F162" s="126">
        <v>9</v>
      </c>
      <c r="G162" s="205">
        <v>105</v>
      </c>
      <c r="H162" s="206">
        <f t="shared" si="75"/>
        <v>798.4</v>
      </c>
      <c r="I162" s="206">
        <f t="shared" si="64"/>
        <v>564.18908876700141</v>
      </c>
      <c r="J162" s="207">
        <f t="shared" si="66"/>
        <v>59239.854320535145</v>
      </c>
      <c r="K162" s="214">
        <f t="shared" si="58"/>
        <v>83832</v>
      </c>
      <c r="L162" s="213">
        <f t="shared" si="74"/>
        <v>-24592.145679464855</v>
      </c>
      <c r="M162" s="210">
        <f t="shared" si="67"/>
        <v>-1552.4173066778019</v>
      </c>
      <c r="N162" s="211">
        <f t="shared" si="68"/>
        <v>-26144.562986142657</v>
      </c>
      <c r="O162" s="210">
        <f t="shared" si="69"/>
        <v>0</v>
      </c>
      <c r="P162" s="210">
        <f t="shared" si="70"/>
        <v>0</v>
      </c>
      <c r="Q162" s="210">
        <v>0</v>
      </c>
      <c r="R162" s="211">
        <f t="shared" si="71"/>
        <v>-26144.562986142657</v>
      </c>
    </row>
    <row r="163" spans="1:19" s="230" customFormat="1" x14ac:dyDescent="0.25">
      <c r="A163" s="163">
        <v>12</v>
      </c>
      <c r="B163" s="228">
        <f t="shared" si="65"/>
        <v>43800</v>
      </c>
      <c r="C163" s="226">
        <f t="shared" si="72"/>
        <v>43833</v>
      </c>
      <c r="D163" s="226">
        <f t="shared" si="72"/>
        <v>43850</v>
      </c>
      <c r="E163" s="235" t="s">
        <v>56</v>
      </c>
      <c r="F163" s="174">
        <v>9</v>
      </c>
      <c r="G163" s="217">
        <v>106</v>
      </c>
      <c r="H163" s="218">
        <f t="shared" si="75"/>
        <v>798.4</v>
      </c>
      <c r="I163" s="218">
        <f t="shared" si="64"/>
        <v>564.18908876700141</v>
      </c>
      <c r="J163" s="219">
        <f t="shared" si="66"/>
        <v>59804.043409302147</v>
      </c>
      <c r="K163" s="220">
        <f t="shared" si="58"/>
        <v>84630.399999999994</v>
      </c>
      <c r="L163" s="221">
        <f t="shared" si="74"/>
        <v>-24826.356590697847</v>
      </c>
      <c r="M163" s="210">
        <f t="shared" si="67"/>
        <v>-1567.2022334080666</v>
      </c>
      <c r="N163" s="211">
        <f t="shared" si="68"/>
        <v>-26393.558824105916</v>
      </c>
      <c r="O163" s="210">
        <f t="shared" si="69"/>
        <v>0</v>
      </c>
      <c r="P163" s="210">
        <f t="shared" si="70"/>
        <v>0</v>
      </c>
      <c r="Q163" s="210">
        <v>0</v>
      </c>
      <c r="R163" s="211">
        <f t="shared" si="71"/>
        <v>-26393.558824105916</v>
      </c>
    </row>
    <row r="164" spans="1:19" x14ac:dyDescent="0.25">
      <c r="A164" s="126">
        <v>1</v>
      </c>
      <c r="B164" s="202">
        <f t="shared" si="65"/>
        <v>43466</v>
      </c>
      <c r="C164" s="223">
        <f t="shared" si="72"/>
        <v>43501</v>
      </c>
      <c r="D164" s="223">
        <f t="shared" si="72"/>
        <v>43516</v>
      </c>
      <c r="E164" s="233" t="s">
        <v>57</v>
      </c>
      <c r="F164" s="126">
        <v>9</v>
      </c>
      <c r="G164" s="205">
        <v>11</v>
      </c>
      <c r="H164" s="206">
        <f t="shared" ref="H164:H170" si="76">+$K$6</f>
        <v>904.88</v>
      </c>
      <c r="I164" s="206">
        <f t="shared" si="64"/>
        <v>564.18908876700141</v>
      </c>
      <c r="J164" s="207">
        <f t="shared" si="66"/>
        <v>6206.0799764370158</v>
      </c>
      <c r="K164" s="208">
        <f t="shared" si="58"/>
        <v>9953.68</v>
      </c>
      <c r="L164" s="209">
        <f t="shared" si="74"/>
        <v>-3747.6000235629845</v>
      </c>
      <c r="M164" s="210">
        <f t="shared" si="67"/>
        <v>-162.63419403291257</v>
      </c>
      <c r="N164" s="211">
        <f t="shared" si="68"/>
        <v>-3910.234217595897</v>
      </c>
      <c r="O164" s="210">
        <f t="shared" si="69"/>
        <v>0</v>
      </c>
      <c r="P164" s="210">
        <f t="shared" si="70"/>
        <v>0</v>
      </c>
      <c r="Q164" s="210">
        <v>0</v>
      </c>
      <c r="R164" s="211">
        <f t="shared" si="71"/>
        <v>-3910.234217595897</v>
      </c>
    </row>
    <row r="165" spans="1:19" x14ac:dyDescent="0.25">
      <c r="A165" s="163">
        <v>2</v>
      </c>
      <c r="B165" s="202">
        <f t="shared" si="65"/>
        <v>43497</v>
      </c>
      <c r="C165" s="226">
        <f t="shared" si="72"/>
        <v>43529</v>
      </c>
      <c r="D165" s="226">
        <f t="shared" si="72"/>
        <v>43544</v>
      </c>
      <c r="E165" s="234" t="s">
        <v>57</v>
      </c>
      <c r="F165" s="163">
        <v>9</v>
      </c>
      <c r="G165" s="205">
        <v>9</v>
      </c>
      <c r="H165" s="206">
        <f t="shared" si="76"/>
        <v>904.88</v>
      </c>
      <c r="I165" s="206">
        <f t="shared" si="64"/>
        <v>564.18908876700141</v>
      </c>
      <c r="J165" s="207">
        <f t="shared" si="66"/>
        <v>5077.7017989030128</v>
      </c>
      <c r="K165" s="208">
        <f t="shared" si="58"/>
        <v>8143.92</v>
      </c>
      <c r="L165" s="209">
        <f t="shared" si="74"/>
        <v>-3066.2182010969873</v>
      </c>
      <c r="M165" s="210">
        <f t="shared" si="67"/>
        <v>-133.06434057238303</v>
      </c>
      <c r="N165" s="211">
        <f t="shared" si="68"/>
        <v>-3199.2825416693704</v>
      </c>
      <c r="O165" s="210">
        <f t="shared" si="69"/>
        <v>0</v>
      </c>
      <c r="P165" s="210">
        <f t="shared" si="70"/>
        <v>0</v>
      </c>
      <c r="Q165" s="210">
        <v>0</v>
      </c>
      <c r="R165" s="211">
        <f t="shared" si="71"/>
        <v>-3199.2825416693704</v>
      </c>
    </row>
    <row r="166" spans="1:19" x14ac:dyDescent="0.25">
      <c r="A166" s="163">
        <v>3</v>
      </c>
      <c r="B166" s="202">
        <f t="shared" si="65"/>
        <v>43525</v>
      </c>
      <c r="C166" s="226">
        <f t="shared" si="72"/>
        <v>43558</v>
      </c>
      <c r="D166" s="226">
        <f t="shared" si="72"/>
        <v>43573</v>
      </c>
      <c r="E166" s="234" t="s">
        <v>57</v>
      </c>
      <c r="F166" s="163">
        <v>9</v>
      </c>
      <c r="G166" s="205">
        <v>12</v>
      </c>
      <c r="H166" s="206">
        <f t="shared" si="76"/>
        <v>904.88</v>
      </c>
      <c r="I166" s="206">
        <f t="shared" si="64"/>
        <v>564.18908876700141</v>
      </c>
      <c r="J166" s="207">
        <f t="shared" si="66"/>
        <v>6770.2690652040164</v>
      </c>
      <c r="K166" s="208">
        <f t="shared" si="58"/>
        <v>10858.56</v>
      </c>
      <c r="L166" s="209">
        <f>+J166-K166</f>
        <v>-4088.290934795983</v>
      </c>
      <c r="M166" s="210">
        <f t="shared" si="67"/>
        <v>-177.41912076317738</v>
      </c>
      <c r="N166" s="211">
        <f t="shared" si="68"/>
        <v>-4265.7100555591605</v>
      </c>
      <c r="O166" s="210">
        <f t="shared" si="69"/>
        <v>0</v>
      </c>
      <c r="P166" s="210">
        <f t="shared" si="70"/>
        <v>0</v>
      </c>
      <c r="Q166" s="210">
        <v>0</v>
      </c>
      <c r="R166" s="211">
        <f t="shared" si="71"/>
        <v>-4265.7100555591605</v>
      </c>
    </row>
    <row r="167" spans="1:19" x14ac:dyDescent="0.25">
      <c r="A167" s="126">
        <v>4</v>
      </c>
      <c r="B167" s="202">
        <f t="shared" si="65"/>
        <v>43556</v>
      </c>
      <c r="C167" s="226">
        <f t="shared" si="72"/>
        <v>43588</v>
      </c>
      <c r="D167" s="226">
        <f t="shared" si="72"/>
        <v>43605</v>
      </c>
      <c r="E167" s="234" t="s">
        <v>57</v>
      </c>
      <c r="F167" s="163">
        <v>9</v>
      </c>
      <c r="G167" s="205">
        <v>10</v>
      </c>
      <c r="H167" s="206">
        <f t="shared" si="76"/>
        <v>904.88</v>
      </c>
      <c r="I167" s="206">
        <f t="shared" si="64"/>
        <v>564.18908876700141</v>
      </c>
      <c r="J167" s="207">
        <f t="shared" si="66"/>
        <v>5641.8908876700143</v>
      </c>
      <c r="K167" s="208">
        <f t="shared" si="58"/>
        <v>9048.7999999999993</v>
      </c>
      <c r="L167" s="209">
        <f t="shared" ref="L167:L177" si="77">+J167-K167</f>
        <v>-3406.909112329985</v>
      </c>
      <c r="M167" s="210">
        <f t="shared" si="67"/>
        <v>-147.8492673026478</v>
      </c>
      <c r="N167" s="211">
        <f t="shared" si="68"/>
        <v>-3554.7583796326326</v>
      </c>
      <c r="O167" s="210">
        <f t="shared" si="69"/>
        <v>0</v>
      </c>
      <c r="P167" s="210">
        <f t="shared" si="70"/>
        <v>0</v>
      </c>
      <c r="Q167" s="210">
        <v>0</v>
      </c>
      <c r="R167" s="211">
        <f t="shared" si="71"/>
        <v>-3554.7583796326326</v>
      </c>
    </row>
    <row r="168" spans="1:19" x14ac:dyDescent="0.25">
      <c r="A168" s="163">
        <v>5</v>
      </c>
      <c r="B168" s="202">
        <f t="shared" si="65"/>
        <v>43586</v>
      </c>
      <c r="C168" s="226">
        <f t="shared" si="72"/>
        <v>43621</v>
      </c>
      <c r="D168" s="226">
        <f t="shared" si="72"/>
        <v>43636</v>
      </c>
      <c r="E168" s="234" t="s">
        <v>57</v>
      </c>
      <c r="F168" s="163">
        <v>9</v>
      </c>
      <c r="G168" s="205">
        <v>13</v>
      </c>
      <c r="H168" s="206">
        <f t="shared" si="76"/>
        <v>904.88</v>
      </c>
      <c r="I168" s="206">
        <f t="shared" si="64"/>
        <v>564.18908876700141</v>
      </c>
      <c r="J168" s="207">
        <f t="shared" si="66"/>
        <v>7334.458153971018</v>
      </c>
      <c r="K168" s="208">
        <f t="shared" si="58"/>
        <v>11763.44</v>
      </c>
      <c r="L168" s="209">
        <f t="shared" si="77"/>
        <v>-4428.9818460289825</v>
      </c>
      <c r="M168" s="210">
        <f t="shared" si="67"/>
        <v>-192.20404749344218</v>
      </c>
      <c r="N168" s="211">
        <f t="shared" si="68"/>
        <v>-4621.1858935224245</v>
      </c>
      <c r="O168" s="210">
        <f t="shared" si="69"/>
        <v>0</v>
      </c>
      <c r="P168" s="210">
        <f t="shared" si="70"/>
        <v>0</v>
      </c>
      <c r="Q168" s="210">
        <v>0</v>
      </c>
      <c r="R168" s="211">
        <f t="shared" si="71"/>
        <v>-4621.1858935224245</v>
      </c>
    </row>
    <row r="169" spans="1:19" x14ac:dyDescent="0.25">
      <c r="A169" s="163">
        <v>6</v>
      </c>
      <c r="B169" s="202">
        <f t="shared" si="65"/>
        <v>43617</v>
      </c>
      <c r="C169" s="226">
        <f t="shared" si="72"/>
        <v>43649</v>
      </c>
      <c r="D169" s="226">
        <f t="shared" si="72"/>
        <v>43664</v>
      </c>
      <c r="E169" s="234" t="s">
        <v>57</v>
      </c>
      <c r="F169" s="163">
        <v>9</v>
      </c>
      <c r="G169" s="205">
        <v>12</v>
      </c>
      <c r="H169" s="206">
        <f t="shared" si="76"/>
        <v>904.88</v>
      </c>
      <c r="I169" s="206">
        <f t="shared" si="64"/>
        <v>564.18908876700141</v>
      </c>
      <c r="J169" s="207">
        <f t="shared" si="66"/>
        <v>6770.2690652040164</v>
      </c>
      <c r="K169" s="208">
        <f t="shared" si="58"/>
        <v>10858.56</v>
      </c>
      <c r="L169" s="213">
        <f t="shared" si="77"/>
        <v>-4088.290934795983</v>
      </c>
      <c r="M169" s="210">
        <f t="shared" si="67"/>
        <v>-177.41912076317738</v>
      </c>
      <c r="N169" s="211">
        <f t="shared" si="68"/>
        <v>-4265.7100555591605</v>
      </c>
      <c r="O169" s="210">
        <f t="shared" si="69"/>
        <v>0</v>
      </c>
      <c r="P169" s="210">
        <f t="shared" si="70"/>
        <v>0</v>
      </c>
      <c r="Q169" s="210">
        <v>0</v>
      </c>
      <c r="R169" s="211">
        <f t="shared" si="71"/>
        <v>-4265.7100555591605</v>
      </c>
    </row>
    <row r="170" spans="1:19" x14ac:dyDescent="0.25">
      <c r="A170" s="126">
        <v>7</v>
      </c>
      <c r="B170" s="202">
        <f t="shared" si="65"/>
        <v>43647</v>
      </c>
      <c r="C170" s="226">
        <f t="shared" si="72"/>
        <v>43682</v>
      </c>
      <c r="D170" s="226">
        <f t="shared" si="72"/>
        <v>43697</v>
      </c>
      <c r="E170" s="234" t="s">
        <v>57</v>
      </c>
      <c r="F170" s="163">
        <v>9</v>
      </c>
      <c r="G170" s="205">
        <v>14</v>
      </c>
      <c r="H170" s="206">
        <f t="shared" si="76"/>
        <v>904.88</v>
      </c>
      <c r="I170" s="206">
        <f t="shared" si="64"/>
        <v>564.18908876700141</v>
      </c>
      <c r="J170" s="207">
        <f t="shared" si="66"/>
        <v>7898.6472427380195</v>
      </c>
      <c r="K170" s="214">
        <f t="shared" si="58"/>
        <v>12668.32</v>
      </c>
      <c r="L170" s="213">
        <f t="shared" si="77"/>
        <v>-4769.6727572619802</v>
      </c>
      <c r="M170" s="210">
        <f t="shared" si="67"/>
        <v>-206.98897422370695</v>
      </c>
      <c r="N170" s="211">
        <f t="shared" si="68"/>
        <v>-4976.6617314856876</v>
      </c>
      <c r="O170" s="210">
        <f t="shared" si="69"/>
        <v>0</v>
      </c>
      <c r="P170" s="210">
        <f t="shared" si="70"/>
        <v>0</v>
      </c>
      <c r="Q170" s="210">
        <v>0</v>
      </c>
      <c r="R170" s="211">
        <f t="shared" si="71"/>
        <v>-4976.6617314856876</v>
      </c>
    </row>
    <row r="171" spans="1:19" x14ac:dyDescent="0.25">
      <c r="A171" s="163">
        <v>8</v>
      </c>
      <c r="B171" s="202">
        <f t="shared" si="65"/>
        <v>43678</v>
      </c>
      <c r="C171" s="226">
        <f t="shared" si="72"/>
        <v>43712</v>
      </c>
      <c r="D171" s="226">
        <f t="shared" si="72"/>
        <v>43727</v>
      </c>
      <c r="E171" s="234" t="s">
        <v>57</v>
      </c>
      <c r="F171" s="126">
        <v>9</v>
      </c>
      <c r="G171" s="205">
        <v>16</v>
      </c>
      <c r="H171" s="206">
        <f t="shared" ref="H171:H175" si="78">$K$3</f>
        <v>798.4</v>
      </c>
      <c r="I171" s="206">
        <f t="shared" si="64"/>
        <v>564.18908876700141</v>
      </c>
      <c r="J171" s="207">
        <f t="shared" si="66"/>
        <v>9027.0254202720225</v>
      </c>
      <c r="K171" s="214">
        <f t="shared" si="58"/>
        <v>12774.4</v>
      </c>
      <c r="L171" s="213">
        <f t="shared" si="77"/>
        <v>-3747.3745797279771</v>
      </c>
      <c r="M171" s="210">
        <f t="shared" si="67"/>
        <v>-236.55882768423649</v>
      </c>
      <c r="N171" s="211">
        <f t="shared" si="68"/>
        <v>-3983.9334074122135</v>
      </c>
      <c r="O171" s="210">
        <f t="shared" si="69"/>
        <v>0</v>
      </c>
      <c r="P171" s="210">
        <f t="shared" si="70"/>
        <v>0</v>
      </c>
      <c r="Q171" s="210">
        <v>0</v>
      </c>
      <c r="R171" s="211">
        <f t="shared" si="71"/>
        <v>-3983.9334074122135</v>
      </c>
      <c r="S171" s="52"/>
    </row>
    <row r="172" spans="1:19" x14ac:dyDescent="0.25">
      <c r="A172" s="163">
        <v>9</v>
      </c>
      <c r="B172" s="202">
        <f t="shared" si="65"/>
        <v>43709</v>
      </c>
      <c r="C172" s="226">
        <f t="shared" ref="C172:D175" si="79">+C160</f>
        <v>43741</v>
      </c>
      <c r="D172" s="226">
        <f t="shared" si="79"/>
        <v>43756</v>
      </c>
      <c r="E172" s="234" t="s">
        <v>57</v>
      </c>
      <c r="F172" s="126">
        <v>9</v>
      </c>
      <c r="G172" s="205">
        <v>13</v>
      </c>
      <c r="H172" s="206">
        <f t="shared" si="78"/>
        <v>798.4</v>
      </c>
      <c r="I172" s="206">
        <f t="shared" si="64"/>
        <v>564.18908876700141</v>
      </c>
      <c r="J172" s="207">
        <f t="shared" si="66"/>
        <v>7334.458153971018</v>
      </c>
      <c r="K172" s="214">
        <f t="shared" si="58"/>
        <v>10379.199999999999</v>
      </c>
      <c r="L172" s="213">
        <f t="shared" si="77"/>
        <v>-3044.7418460289809</v>
      </c>
      <c r="M172" s="210">
        <f t="shared" si="67"/>
        <v>-192.20404749344218</v>
      </c>
      <c r="N172" s="211">
        <f t="shared" si="68"/>
        <v>-3236.9458935224229</v>
      </c>
      <c r="O172" s="210">
        <f t="shared" si="69"/>
        <v>0</v>
      </c>
      <c r="P172" s="210">
        <f t="shared" si="70"/>
        <v>0</v>
      </c>
      <c r="Q172" s="210">
        <v>0</v>
      </c>
      <c r="R172" s="211">
        <f t="shared" si="71"/>
        <v>-3236.9458935224229</v>
      </c>
    </row>
    <row r="173" spans="1:19" x14ac:dyDescent="0.25">
      <c r="A173" s="126">
        <v>10</v>
      </c>
      <c r="B173" s="202">
        <f t="shared" si="65"/>
        <v>43739</v>
      </c>
      <c r="C173" s="226">
        <f t="shared" si="79"/>
        <v>43774</v>
      </c>
      <c r="D173" s="226">
        <f t="shared" si="79"/>
        <v>43789</v>
      </c>
      <c r="E173" s="234" t="s">
        <v>57</v>
      </c>
      <c r="F173" s="126">
        <v>9</v>
      </c>
      <c r="G173" s="205">
        <v>12</v>
      </c>
      <c r="H173" s="206">
        <f t="shared" si="78"/>
        <v>798.4</v>
      </c>
      <c r="I173" s="206">
        <f t="shared" si="64"/>
        <v>564.18908876700141</v>
      </c>
      <c r="J173" s="207">
        <f t="shared" si="66"/>
        <v>6770.2690652040164</v>
      </c>
      <c r="K173" s="214">
        <f t="shared" si="58"/>
        <v>9580.7999999999993</v>
      </c>
      <c r="L173" s="213">
        <f t="shared" si="77"/>
        <v>-2810.5309347959828</v>
      </c>
      <c r="M173" s="210">
        <f t="shared" si="67"/>
        <v>-177.41912076317738</v>
      </c>
      <c r="N173" s="211">
        <f t="shared" si="68"/>
        <v>-2987.9500555591603</v>
      </c>
      <c r="O173" s="210">
        <f t="shared" si="69"/>
        <v>0</v>
      </c>
      <c r="P173" s="210">
        <f t="shared" si="70"/>
        <v>0</v>
      </c>
      <c r="Q173" s="210">
        <v>0</v>
      </c>
      <c r="R173" s="211">
        <f t="shared" si="71"/>
        <v>-2987.9500555591603</v>
      </c>
    </row>
    <row r="174" spans="1:19" x14ac:dyDescent="0.25">
      <c r="A174" s="163">
        <v>11</v>
      </c>
      <c r="B174" s="202">
        <f t="shared" si="65"/>
        <v>43770</v>
      </c>
      <c r="C174" s="226">
        <f t="shared" si="79"/>
        <v>43803</v>
      </c>
      <c r="D174" s="226">
        <f t="shared" si="79"/>
        <v>43818</v>
      </c>
      <c r="E174" s="234" t="s">
        <v>57</v>
      </c>
      <c r="F174" s="126">
        <v>9</v>
      </c>
      <c r="G174" s="205">
        <v>9</v>
      </c>
      <c r="H174" s="206">
        <f t="shared" si="78"/>
        <v>798.4</v>
      </c>
      <c r="I174" s="206">
        <f t="shared" si="64"/>
        <v>564.18908876700141</v>
      </c>
      <c r="J174" s="207">
        <f t="shared" si="66"/>
        <v>5077.7017989030128</v>
      </c>
      <c r="K174" s="214">
        <f t="shared" si="58"/>
        <v>7185.5999999999995</v>
      </c>
      <c r="L174" s="213">
        <f t="shared" si="77"/>
        <v>-2107.8982010969867</v>
      </c>
      <c r="M174" s="210">
        <f t="shared" si="67"/>
        <v>-133.06434057238303</v>
      </c>
      <c r="N174" s="211">
        <f t="shared" si="68"/>
        <v>-2240.9625416693698</v>
      </c>
      <c r="O174" s="210">
        <f t="shared" si="69"/>
        <v>0</v>
      </c>
      <c r="P174" s="210">
        <f t="shared" si="70"/>
        <v>0</v>
      </c>
      <c r="Q174" s="210">
        <v>0</v>
      </c>
      <c r="R174" s="211">
        <f t="shared" si="71"/>
        <v>-2240.9625416693698</v>
      </c>
    </row>
    <row r="175" spans="1:19" s="230" customFormat="1" x14ac:dyDescent="0.25">
      <c r="A175" s="163">
        <v>12</v>
      </c>
      <c r="B175" s="228">
        <f t="shared" si="65"/>
        <v>43800</v>
      </c>
      <c r="C175" s="226">
        <f t="shared" si="79"/>
        <v>43833</v>
      </c>
      <c r="D175" s="226">
        <f t="shared" si="79"/>
        <v>43850</v>
      </c>
      <c r="E175" s="235" t="s">
        <v>57</v>
      </c>
      <c r="F175" s="174">
        <v>9</v>
      </c>
      <c r="G175" s="217">
        <v>10</v>
      </c>
      <c r="H175" s="218">
        <f t="shared" si="78"/>
        <v>798.4</v>
      </c>
      <c r="I175" s="218">
        <f t="shared" si="64"/>
        <v>564.18908876700141</v>
      </c>
      <c r="J175" s="219">
        <f t="shared" si="66"/>
        <v>5641.8908876700143</v>
      </c>
      <c r="K175" s="220">
        <f t="shared" si="58"/>
        <v>7984</v>
      </c>
      <c r="L175" s="221">
        <f t="shared" si="77"/>
        <v>-2342.1091123299857</v>
      </c>
      <c r="M175" s="210">
        <f t="shared" si="67"/>
        <v>-147.8492673026478</v>
      </c>
      <c r="N175" s="211">
        <f t="shared" si="68"/>
        <v>-2489.9583796326333</v>
      </c>
      <c r="O175" s="210">
        <f t="shared" si="69"/>
        <v>0</v>
      </c>
      <c r="P175" s="210">
        <f t="shared" si="70"/>
        <v>0</v>
      </c>
      <c r="Q175" s="210">
        <v>0</v>
      </c>
      <c r="R175" s="211">
        <f t="shared" si="71"/>
        <v>-2489.9583796326333</v>
      </c>
    </row>
    <row r="176" spans="1:19" x14ac:dyDescent="0.25">
      <c r="A176" s="126">
        <v>1</v>
      </c>
      <c r="B176" s="202">
        <f t="shared" si="65"/>
        <v>43466</v>
      </c>
      <c r="C176" s="223">
        <f t="shared" ref="C176:D187" si="80">+C152</f>
        <v>43501</v>
      </c>
      <c r="D176" s="223">
        <f t="shared" si="80"/>
        <v>43516</v>
      </c>
      <c r="E176" s="233" t="s">
        <v>58</v>
      </c>
      <c r="F176" s="163">
        <v>9</v>
      </c>
      <c r="G176" s="205">
        <v>22</v>
      </c>
      <c r="H176" s="206">
        <f t="shared" ref="H176:H182" si="81">+$K$6</f>
        <v>904.88</v>
      </c>
      <c r="I176" s="206">
        <f t="shared" si="64"/>
        <v>564.18908876700141</v>
      </c>
      <c r="J176" s="207">
        <f t="shared" si="66"/>
        <v>12412.159952874032</v>
      </c>
      <c r="K176" s="208">
        <f t="shared" si="58"/>
        <v>19907.36</v>
      </c>
      <c r="L176" s="209">
        <f t="shared" si="77"/>
        <v>-7495.2000471259689</v>
      </c>
      <c r="M176" s="210">
        <f t="shared" si="67"/>
        <v>-325.26838806582515</v>
      </c>
      <c r="N176" s="211">
        <f t="shared" si="68"/>
        <v>-7820.468435191794</v>
      </c>
      <c r="O176" s="210">
        <f t="shared" si="69"/>
        <v>0</v>
      </c>
      <c r="P176" s="210">
        <f t="shared" si="70"/>
        <v>0</v>
      </c>
      <c r="Q176" s="210">
        <v>0</v>
      </c>
      <c r="R176" s="211">
        <f t="shared" si="71"/>
        <v>-7820.468435191794</v>
      </c>
    </row>
    <row r="177" spans="1:18" x14ac:dyDescent="0.25">
      <c r="A177" s="163">
        <v>2</v>
      </c>
      <c r="B177" s="202">
        <f t="shared" si="65"/>
        <v>43497</v>
      </c>
      <c r="C177" s="226">
        <f t="shared" si="80"/>
        <v>43529</v>
      </c>
      <c r="D177" s="226">
        <f t="shared" si="80"/>
        <v>43544</v>
      </c>
      <c r="E177" s="54" t="s">
        <v>58</v>
      </c>
      <c r="F177" s="163">
        <v>9</v>
      </c>
      <c r="G177" s="205">
        <v>20</v>
      </c>
      <c r="H177" s="206">
        <f t="shared" si="81"/>
        <v>904.88</v>
      </c>
      <c r="I177" s="206">
        <f t="shared" si="64"/>
        <v>564.18908876700141</v>
      </c>
      <c r="J177" s="207">
        <f t="shared" si="66"/>
        <v>11283.781775340029</v>
      </c>
      <c r="K177" s="208">
        <f t="shared" si="58"/>
        <v>18097.599999999999</v>
      </c>
      <c r="L177" s="209">
        <f t="shared" si="77"/>
        <v>-6813.8182246599699</v>
      </c>
      <c r="M177" s="210">
        <f t="shared" si="67"/>
        <v>-295.69853460529561</v>
      </c>
      <c r="N177" s="211">
        <f t="shared" si="68"/>
        <v>-7109.5167592652651</v>
      </c>
      <c r="O177" s="210">
        <f t="shared" si="69"/>
        <v>0</v>
      </c>
      <c r="P177" s="210">
        <f t="shared" si="70"/>
        <v>0</v>
      </c>
      <c r="Q177" s="210">
        <v>0</v>
      </c>
      <c r="R177" s="211">
        <f t="shared" si="71"/>
        <v>-7109.5167592652651</v>
      </c>
    </row>
    <row r="178" spans="1:18" x14ac:dyDescent="0.25">
      <c r="A178" s="163">
        <v>3</v>
      </c>
      <c r="B178" s="202">
        <f t="shared" si="65"/>
        <v>43525</v>
      </c>
      <c r="C178" s="226">
        <f t="shared" si="80"/>
        <v>43558</v>
      </c>
      <c r="D178" s="226">
        <f t="shared" si="80"/>
        <v>43573</v>
      </c>
      <c r="E178" s="54" t="s">
        <v>58</v>
      </c>
      <c r="F178" s="163">
        <v>9</v>
      </c>
      <c r="G178" s="205">
        <v>21</v>
      </c>
      <c r="H178" s="206">
        <f t="shared" si="81"/>
        <v>904.88</v>
      </c>
      <c r="I178" s="206">
        <f t="shared" si="64"/>
        <v>564.18908876700141</v>
      </c>
      <c r="J178" s="207">
        <f t="shared" si="66"/>
        <v>11847.97086410703</v>
      </c>
      <c r="K178" s="208">
        <f t="shared" si="58"/>
        <v>19002.48</v>
      </c>
      <c r="L178" s="209">
        <f>+J178-K178</f>
        <v>-7154.5091358929694</v>
      </c>
      <c r="M178" s="210">
        <f t="shared" si="67"/>
        <v>-310.48346133556038</v>
      </c>
      <c r="N178" s="211">
        <f t="shared" si="68"/>
        <v>-7464.99259722853</v>
      </c>
      <c r="O178" s="210">
        <f t="shared" si="69"/>
        <v>0</v>
      </c>
      <c r="P178" s="210">
        <f t="shared" si="70"/>
        <v>0</v>
      </c>
      <c r="Q178" s="210">
        <v>0</v>
      </c>
      <c r="R178" s="211">
        <f t="shared" si="71"/>
        <v>-7464.99259722853</v>
      </c>
    </row>
    <row r="179" spans="1:18" x14ac:dyDescent="0.25">
      <c r="A179" s="126">
        <v>4</v>
      </c>
      <c r="B179" s="202">
        <f t="shared" si="65"/>
        <v>43556</v>
      </c>
      <c r="C179" s="226">
        <f t="shared" si="80"/>
        <v>43588</v>
      </c>
      <c r="D179" s="226">
        <f t="shared" si="80"/>
        <v>43605</v>
      </c>
      <c r="E179" s="54" t="s">
        <v>58</v>
      </c>
      <c r="F179" s="163">
        <v>9</v>
      </c>
      <c r="G179" s="205">
        <v>21</v>
      </c>
      <c r="H179" s="206">
        <f t="shared" si="81"/>
        <v>904.88</v>
      </c>
      <c r="I179" s="206">
        <f t="shared" si="64"/>
        <v>564.18908876700141</v>
      </c>
      <c r="J179" s="207">
        <f t="shared" si="66"/>
        <v>11847.97086410703</v>
      </c>
      <c r="K179" s="208">
        <f t="shared" si="58"/>
        <v>19002.48</v>
      </c>
      <c r="L179" s="209">
        <f t="shared" ref="L179:L189" si="82">+J179-K179</f>
        <v>-7154.5091358929694</v>
      </c>
      <c r="M179" s="210">
        <f t="shared" si="67"/>
        <v>-310.48346133556038</v>
      </c>
      <c r="N179" s="211">
        <f t="shared" si="68"/>
        <v>-7464.99259722853</v>
      </c>
      <c r="O179" s="210">
        <f t="shared" si="69"/>
        <v>0</v>
      </c>
      <c r="P179" s="210">
        <f t="shared" si="70"/>
        <v>0</v>
      </c>
      <c r="Q179" s="210">
        <v>0</v>
      </c>
      <c r="R179" s="211">
        <f t="shared" si="71"/>
        <v>-7464.99259722853</v>
      </c>
    </row>
    <row r="180" spans="1:18" x14ac:dyDescent="0.25">
      <c r="A180" s="163">
        <v>5</v>
      </c>
      <c r="B180" s="202">
        <f t="shared" si="65"/>
        <v>43586</v>
      </c>
      <c r="C180" s="226">
        <f t="shared" si="80"/>
        <v>43621</v>
      </c>
      <c r="D180" s="226">
        <f t="shared" si="80"/>
        <v>43636</v>
      </c>
      <c r="E180" s="54" t="s">
        <v>58</v>
      </c>
      <c r="F180" s="163">
        <v>9</v>
      </c>
      <c r="G180" s="205">
        <v>30</v>
      </c>
      <c r="H180" s="206">
        <f t="shared" si="81"/>
        <v>904.88</v>
      </c>
      <c r="I180" s="206">
        <f t="shared" ref="I180:I211" si="83">$J$3</f>
        <v>564.18908876700141</v>
      </c>
      <c r="J180" s="207">
        <f t="shared" si="66"/>
        <v>16925.672663010042</v>
      </c>
      <c r="K180" s="208">
        <f t="shared" si="58"/>
        <v>27146.400000000001</v>
      </c>
      <c r="L180" s="209">
        <f t="shared" si="82"/>
        <v>-10220.727336989959</v>
      </c>
      <c r="M180" s="210">
        <f t="shared" si="67"/>
        <v>-443.54780190794344</v>
      </c>
      <c r="N180" s="211">
        <f t="shared" si="68"/>
        <v>-10664.275138897903</v>
      </c>
      <c r="O180" s="210">
        <f t="shared" si="69"/>
        <v>0</v>
      </c>
      <c r="P180" s="210">
        <f t="shared" si="70"/>
        <v>0</v>
      </c>
      <c r="Q180" s="210">
        <v>0</v>
      </c>
      <c r="R180" s="211">
        <f t="shared" si="71"/>
        <v>-10664.275138897903</v>
      </c>
    </row>
    <row r="181" spans="1:18" x14ac:dyDescent="0.25">
      <c r="A181" s="163">
        <v>6</v>
      </c>
      <c r="B181" s="202">
        <f t="shared" si="65"/>
        <v>43617</v>
      </c>
      <c r="C181" s="226">
        <f t="shared" si="80"/>
        <v>43649</v>
      </c>
      <c r="D181" s="226">
        <f t="shared" si="80"/>
        <v>43664</v>
      </c>
      <c r="E181" s="54" t="s">
        <v>58</v>
      </c>
      <c r="F181" s="163">
        <v>9</v>
      </c>
      <c r="G181" s="205">
        <v>32</v>
      </c>
      <c r="H181" s="206">
        <f t="shared" si="81"/>
        <v>904.88</v>
      </c>
      <c r="I181" s="206">
        <f t="shared" si="83"/>
        <v>564.18908876700141</v>
      </c>
      <c r="J181" s="207">
        <f t="shared" si="66"/>
        <v>18054.050840544045</v>
      </c>
      <c r="K181" s="208">
        <f t="shared" si="58"/>
        <v>28956.16</v>
      </c>
      <c r="L181" s="213">
        <f t="shared" si="82"/>
        <v>-10902.109159455955</v>
      </c>
      <c r="M181" s="210">
        <f t="shared" si="67"/>
        <v>-473.11765536847298</v>
      </c>
      <c r="N181" s="211">
        <f t="shared" si="68"/>
        <v>-11375.226814824427</v>
      </c>
      <c r="O181" s="210">
        <f t="shared" si="69"/>
        <v>0</v>
      </c>
      <c r="P181" s="210">
        <f t="shared" si="70"/>
        <v>0</v>
      </c>
      <c r="Q181" s="210">
        <v>0</v>
      </c>
      <c r="R181" s="211">
        <f t="shared" si="71"/>
        <v>-11375.226814824427</v>
      </c>
    </row>
    <row r="182" spans="1:18" x14ac:dyDescent="0.25">
      <c r="A182" s="126">
        <v>7</v>
      </c>
      <c r="B182" s="202">
        <f t="shared" si="65"/>
        <v>43647</v>
      </c>
      <c r="C182" s="226">
        <f t="shared" si="80"/>
        <v>43682</v>
      </c>
      <c r="D182" s="226">
        <f t="shared" si="80"/>
        <v>43697</v>
      </c>
      <c r="E182" s="54" t="s">
        <v>58</v>
      </c>
      <c r="F182" s="163">
        <v>9</v>
      </c>
      <c r="G182" s="205">
        <v>33</v>
      </c>
      <c r="H182" s="206">
        <f t="shared" si="81"/>
        <v>904.88</v>
      </c>
      <c r="I182" s="206">
        <f t="shared" si="83"/>
        <v>564.18908876700141</v>
      </c>
      <c r="J182" s="207">
        <f t="shared" si="66"/>
        <v>18618.239929311047</v>
      </c>
      <c r="K182" s="214">
        <f t="shared" si="58"/>
        <v>29861.040000000001</v>
      </c>
      <c r="L182" s="213">
        <f t="shared" si="82"/>
        <v>-11242.800070688954</v>
      </c>
      <c r="M182" s="210">
        <f t="shared" si="67"/>
        <v>-487.90258209873775</v>
      </c>
      <c r="N182" s="211">
        <f t="shared" si="68"/>
        <v>-11730.702652787691</v>
      </c>
      <c r="O182" s="210">
        <f t="shared" si="69"/>
        <v>0</v>
      </c>
      <c r="P182" s="210">
        <f t="shared" si="70"/>
        <v>0</v>
      </c>
      <c r="Q182" s="210">
        <v>0</v>
      </c>
      <c r="R182" s="211">
        <f t="shared" si="71"/>
        <v>-11730.702652787691</v>
      </c>
    </row>
    <row r="183" spans="1:18" x14ac:dyDescent="0.25">
      <c r="A183" s="163">
        <v>8</v>
      </c>
      <c r="B183" s="202">
        <f t="shared" si="65"/>
        <v>43678</v>
      </c>
      <c r="C183" s="226">
        <f t="shared" si="80"/>
        <v>43712</v>
      </c>
      <c r="D183" s="226">
        <f t="shared" si="80"/>
        <v>43727</v>
      </c>
      <c r="E183" s="54" t="s">
        <v>58</v>
      </c>
      <c r="F183" s="163">
        <v>9</v>
      </c>
      <c r="G183" s="205">
        <v>36</v>
      </c>
      <c r="H183" s="206">
        <f t="shared" ref="H183:H187" si="84">$K$3</f>
        <v>798.4</v>
      </c>
      <c r="I183" s="206">
        <f t="shared" si="83"/>
        <v>564.18908876700141</v>
      </c>
      <c r="J183" s="207">
        <f t="shared" si="66"/>
        <v>20310.807195612051</v>
      </c>
      <c r="K183" s="214">
        <f t="shared" si="58"/>
        <v>28742.399999999998</v>
      </c>
      <c r="L183" s="213">
        <f t="shared" si="82"/>
        <v>-8431.5928043879467</v>
      </c>
      <c r="M183" s="210">
        <f t="shared" si="67"/>
        <v>-532.25736228953213</v>
      </c>
      <c r="N183" s="211">
        <f t="shared" si="68"/>
        <v>-8963.8501666774791</v>
      </c>
      <c r="O183" s="210">
        <f t="shared" si="69"/>
        <v>0</v>
      </c>
      <c r="P183" s="210">
        <f t="shared" si="70"/>
        <v>0</v>
      </c>
      <c r="Q183" s="210">
        <v>0</v>
      </c>
      <c r="R183" s="211">
        <f t="shared" si="71"/>
        <v>-8963.8501666774791</v>
      </c>
    </row>
    <row r="184" spans="1:18" x14ac:dyDescent="0.25">
      <c r="A184" s="163">
        <v>9</v>
      </c>
      <c r="B184" s="202">
        <f t="shared" si="65"/>
        <v>43709</v>
      </c>
      <c r="C184" s="226">
        <f t="shared" si="80"/>
        <v>43741</v>
      </c>
      <c r="D184" s="226">
        <f t="shared" si="80"/>
        <v>43756</v>
      </c>
      <c r="E184" s="54" t="s">
        <v>58</v>
      </c>
      <c r="F184" s="163">
        <v>9</v>
      </c>
      <c r="G184" s="205">
        <v>34</v>
      </c>
      <c r="H184" s="206">
        <f t="shared" si="84"/>
        <v>798.4</v>
      </c>
      <c r="I184" s="206">
        <f t="shared" si="83"/>
        <v>564.18908876700141</v>
      </c>
      <c r="J184" s="207">
        <f t="shared" si="66"/>
        <v>19182.429018078048</v>
      </c>
      <c r="K184" s="214">
        <f t="shared" si="58"/>
        <v>27145.599999999999</v>
      </c>
      <c r="L184" s="213">
        <f t="shared" si="82"/>
        <v>-7963.1709819219504</v>
      </c>
      <c r="M184" s="210">
        <f t="shared" si="67"/>
        <v>-502.68750882900252</v>
      </c>
      <c r="N184" s="211">
        <f t="shared" si="68"/>
        <v>-8465.8584907509521</v>
      </c>
      <c r="O184" s="210">
        <f t="shared" si="69"/>
        <v>0</v>
      </c>
      <c r="P184" s="210">
        <f t="shared" si="70"/>
        <v>0</v>
      </c>
      <c r="Q184" s="210">
        <v>0</v>
      </c>
      <c r="R184" s="211">
        <f t="shared" si="71"/>
        <v>-8465.8584907509521</v>
      </c>
    </row>
    <row r="185" spans="1:18" x14ac:dyDescent="0.25">
      <c r="A185" s="126">
        <v>10</v>
      </c>
      <c r="B185" s="202">
        <f t="shared" si="65"/>
        <v>43739</v>
      </c>
      <c r="C185" s="226">
        <f t="shared" si="80"/>
        <v>43774</v>
      </c>
      <c r="D185" s="226">
        <f t="shared" si="80"/>
        <v>43789</v>
      </c>
      <c r="E185" s="54" t="s">
        <v>58</v>
      </c>
      <c r="F185" s="163">
        <v>9</v>
      </c>
      <c r="G185" s="205">
        <v>34</v>
      </c>
      <c r="H185" s="206">
        <f t="shared" si="84"/>
        <v>798.4</v>
      </c>
      <c r="I185" s="206">
        <f t="shared" si="83"/>
        <v>564.18908876700141</v>
      </c>
      <c r="J185" s="207">
        <f t="shared" si="66"/>
        <v>19182.429018078048</v>
      </c>
      <c r="K185" s="214">
        <f t="shared" si="58"/>
        <v>27145.599999999999</v>
      </c>
      <c r="L185" s="213">
        <f t="shared" si="82"/>
        <v>-7963.1709819219504</v>
      </c>
      <c r="M185" s="210">
        <f t="shared" si="67"/>
        <v>-502.68750882900252</v>
      </c>
      <c r="N185" s="211">
        <f t="shared" si="68"/>
        <v>-8465.8584907509521</v>
      </c>
      <c r="O185" s="210">
        <f t="shared" si="69"/>
        <v>0</v>
      </c>
      <c r="P185" s="210">
        <f t="shared" si="70"/>
        <v>0</v>
      </c>
      <c r="Q185" s="210">
        <v>0</v>
      </c>
      <c r="R185" s="211">
        <f t="shared" si="71"/>
        <v>-8465.8584907509521</v>
      </c>
    </row>
    <row r="186" spans="1:18" x14ac:dyDescent="0.25">
      <c r="A186" s="163">
        <v>11</v>
      </c>
      <c r="B186" s="202">
        <f t="shared" si="65"/>
        <v>43770</v>
      </c>
      <c r="C186" s="226">
        <f t="shared" si="80"/>
        <v>43803</v>
      </c>
      <c r="D186" s="226">
        <f t="shared" si="80"/>
        <v>43818</v>
      </c>
      <c r="E186" s="54" t="s">
        <v>58</v>
      </c>
      <c r="F186" s="163">
        <v>9</v>
      </c>
      <c r="G186" s="205">
        <v>21</v>
      </c>
      <c r="H186" s="206">
        <f t="shared" si="84"/>
        <v>798.4</v>
      </c>
      <c r="I186" s="206">
        <f t="shared" si="83"/>
        <v>564.18908876700141</v>
      </c>
      <c r="J186" s="207">
        <f t="shared" si="66"/>
        <v>11847.97086410703</v>
      </c>
      <c r="K186" s="214">
        <f t="shared" si="58"/>
        <v>16766.399999999998</v>
      </c>
      <c r="L186" s="213">
        <f t="shared" si="82"/>
        <v>-4918.4291358929677</v>
      </c>
      <c r="M186" s="210">
        <f t="shared" si="67"/>
        <v>-310.48346133556038</v>
      </c>
      <c r="N186" s="211">
        <f t="shared" si="68"/>
        <v>-5228.9125972285283</v>
      </c>
      <c r="O186" s="210">
        <f t="shared" si="69"/>
        <v>0</v>
      </c>
      <c r="P186" s="210">
        <f t="shared" si="70"/>
        <v>0</v>
      </c>
      <c r="Q186" s="210">
        <v>0</v>
      </c>
      <c r="R186" s="211">
        <f t="shared" si="71"/>
        <v>-5228.9125972285283</v>
      </c>
    </row>
    <row r="187" spans="1:18" s="230" customFormat="1" x14ac:dyDescent="0.25">
      <c r="A187" s="163">
        <v>12</v>
      </c>
      <c r="B187" s="228">
        <f t="shared" si="65"/>
        <v>43800</v>
      </c>
      <c r="C187" s="226">
        <f t="shared" si="80"/>
        <v>43833</v>
      </c>
      <c r="D187" s="226">
        <f t="shared" si="80"/>
        <v>43850</v>
      </c>
      <c r="E187" s="229" t="s">
        <v>58</v>
      </c>
      <c r="F187" s="174">
        <v>9</v>
      </c>
      <c r="G187" s="217">
        <v>21</v>
      </c>
      <c r="H187" s="218">
        <f t="shared" si="84"/>
        <v>798.4</v>
      </c>
      <c r="I187" s="218">
        <f t="shared" si="83"/>
        <v>564.18908876700141</v>
      </c>
      <c r="J187" s="219">
        <f t="shared" si="66"/>
        <v>11847.97086410703</v>
      </c>
      <c r="K187" s="220">
        <f t="shared" si="58"/>
        <v>16766.399999999998</v>
      </c>
      <c r="L187" s="221">
        <f t="shared" si="82"/>
        <v>-4918.4291358929677</v>
      </c>
      <c r="M187" s="210">
        <f t="shared" si="67"/>
        <v>-310.48346133556038</v>
      </c>
      <c r="N187" s="211">
        <f t="shared" si="68"/>
        <v>-5228.9125972285283</v>
      </c>
      <c r="O187" s="210">
        <f t="shared" si="69"/>
        <v>0</v>
      </c>
      <c r="P187" s="210">
        <f t="shared" si="70"/>
        <v>0</v>
      </c>
      <c r="Q187" s="210">
        <v>0</v>
      </c>
      <c r="R187" s="211">
        <f t="shared" si="71"/>
        <v>-5228.9125972285283</v>
      </c>
    </row>
    <row r="188" spans="1:18" x14ac:dyDescent="0.25">
      <c r="A188" s="126">
        <v>1</v>
      </c>
      <c r="B188" s="202">
        <f t="shared" si="65"/>
        <v>43466</v>
      </c>
      <c r="C188" s="223">
        <f t="shared" ref="C188:D211" si="85">+C176</f>
        <v>43501</v>
      </c>
      <c r="D188" s="223">
        <f t="shared" si="85"/>
        <v>43516</v>
      </c>
      <c r="E188" s="204" t="s">
        <v>59</v>
      </c>
      <c r="F188" s="126">
        <v>9</v>
      </c>
      <c r="G188" s="205">
        <v>43</v>
      </c>
      <c r="H188" s="206">
        <f t="shared" ref="H188:H194" si="86">+$K$6</f>
        <v>904.88</v>
      </c>
      <c r="I188" s="206">
        <f t="shared" si="83"/>
        <v>564.18908876700141</v>
      </c>
      <c r="J188" s="207">
        <f t="shared" si="66"/>
        <v>24260.130816981062</v>
      </c>
      <c r="K188" s="208">
        <f t="shared" si="58"/>
        <v>38909.839999999997</v>
      </c>
      <c r="L188" s="209">
        <f t="shared" si="82"/>
        <v>-14649.709183018935</v>
      </c>
      <c r="M188" s="210">
        <f t="shared" si="67"/>
        <v>-635.75184940138558</v>
      </c>
      <c r="N188" s="211">
        <f t="shared" si="68"/>
        <v>-15285.46103242032</v>
      </c>
      <c r="O188" s="210">
        <f t="shared" si="69"/>
        <v>0</v>
      </c>
      <c r="P188" s="210">
        <f t="shared" si="70"/>
        <v>0</v>
      </c>
      <c r="Q188" s="210">
        <v>0</v>
      </c>
      <c r="R188" s="211">
        <f t="shared" si="71"/>
        <v>-15285.46103242032</v>
      </c>
    </row>
    <row r="189" spans="1:18" x14ac:dyDescent="0.25">
      <c r="A189" s="163">
        <v>2</v>
      </c>
      <c r="B189" s="202">
        <f t="shared" si="65"/>
        <v>43497</v>
      </c>
      <c r="C189" s="226">
        <f t="shared" si="85"/>
        <v>43529</v>
      </c>
      <c r="D189" s="226">
        <f t="shared" si="85"/>
        <v>43544</v>
      </c>
      <c r="E189" s="212" t="s">
        <v>59</v>
      </c>
      <c r="F189" s="163">
        <v>9</v>
      </c>
      <c r="G189" s="205">
        <v>42</v>
      </c>
      <c r="H189" s="206">
        <f t="shared" si="86"/>
        <v>904.88</v>
      </c>
      <c r="I189" s="206">
        <f t="shared" si="83"/>
        <v>564.18908876700141</v>
      </c>
      <c r="J189" s="207">
        <f t="shared" si="66"/>
        <v>23695.94172821406</v>
      </c>
      <c r="K189" s="208">
        <f t="shared" si="58"/>
        <v>38004.959999999999</v>
      </c>
      <c r="L189" s="209">
        <f t="shared" si="82"/>
        <v>-14309.018271785939</v>
      </c>
      <c r="M189" s="210">
        <f t="shared" si="67"/>
        <v>-620.96692267112076</v>
      </c>
      <c r="N189" s="211">
        <f t="shared" si="68"/>
        <v>-14929.98519445706</v>
      </c>
      <c r="O189" s="210">
        <f t="shared" si="69"/>
        <v>0</v>
      </c>
      <c r="P189" s="210">
        <f t="shared" si="70"/>
        <v>0</v>
      </c>
      <c r="Q189" s="210">
        <v>0</v>
      </c>
      <c r="R189" s="211">
        <f t="shared" si="71"/>
        <v>-14929.98519445706</v>
      </c>
    </row>
    <row r="190" spans="1:18" x14ac:dyDescent="0.25">
      <c r="A190" s="163">
        <v>3</v>
      </c>
      <c r="B190" s="202">
        <f t="shared" si="65"/>
        <v>43525</v>
      </c>
      <c r="C190" s="226">
        <f t="shared" si="85"/>
        <v>43558</v>
      </c>
      <c r="D190" s="226">
        <f t="shared" si="85"/>
        <v>43573</v>
      </c>
      <c r="E190" s="212" t="s">
        <v>59</v>
      </c>
      <c r="F190" s="163">
        <v>9</v>
      </c>
      <c r="G190" s="205">
        <v>42</v>
      </c>
      <c r="H190" s="206">
        <f t="shared" si="86"/>
        <v>904.88</v>
      </c>
      <c r="I190" s="206">
        <f t="shared" si="83"/>
        <v>564.18908876700141</v>
      </c>
      <c r="J190" s="207">
        <f t="shared" si="66"/>
        <v>23695.94172821406</v>
      </c>
      <c r="K190" s="208">
        <f t="shared" si="58"/>
        <v>38004.959999999999</v>
      </c>
      <c r="L190" s="209">
        <f>+J190-K190</f>
        <v>-14309.018271785939</v>
      </c>
      <c r="M190" s="210">
        <f t="shared" si="67"/>
        <v>-620.96692267112076</v>
      </c>
      <c r="N190" s="211">
        <f t="shared" si="68"/>
        <v>-14929.98519445706</v>
      </c>
      <c r="O190" s="210">
        <f t="shared" si="69"/>
        <v>0</v>
      </c>
      <c r="P190" s="210">
        <f t="shared" si="70"/>
        <v>0</v>
      </c>
      <c r="Q190" s="210">
        <v>0</v>
      </c>
      <c r="R190" s="211">
        <f t="shared" si="71"/>
        <v>-14929.98519445706</v>
      </c>
    </row>
    <row r="191" spans="1:18" x14ac:dyDescent="0.25">
      <c r="A191" s="126">
        <v>4</v>
      </c>
      <c r="B191" s="202">
        <f t="shared" si="65"/>
        <v>43556</v>
      </c>
      <c r="C191" s="226">
        <f t="shared" si="85"/>
        <v>43588</v>
      </c>
      <c r="D191" s="226">
        <f t="shared" si="85"/>
        <v>43605</v>
      </c>
      <c r="E191" s="54" t="s">
        <v>59</v>
      </c>
      <c r="F191" s="163">
        <v>9</v>
      </c>
      <c r="G191" s="205">
        <v>39</v>
      </c>
      <c r="H191" s="206">
        <f t="shared" si="86"/>
        <v>904.88</v>
      </c>
      <c r="I191" s="206">
        <f t="shared" si="83"/>
        <v>564.18908876700141</v>
      </c>
      <c r="J191" s="207">
        <f t="shared" si="66"/>
        <v>22003.374461913056</v>
      </c>
      <c r="K191" s="208">
        <f t="shared" si="58"/>
        <v>35290.32</v>
      </c>
      <c r="L191" s="209">
        <f t="shared" ref="L191:L201" si="87">+J191-K191</f>
        <v>-13286.945538086944</v>
      </c>
      <c r="M191" s="210">
        <f t="shared" si="67"/>
        <v>-576.6121424803265</v>
      </c>
      <c r="N191" s="211">
        <f t="shared" si="68"/>
        <v>-13863.55768056727</v>
      </c>
      <c r="O191" s="210">
        <f t="shared" si="69"/>
        <v>0</v>
      </c>
      <c r="P191" s="210">
        <f t="shared" si="70"/>
        <v>0</v>
      </c>
      <c r="Q191" s="210">
        <v>0</v>
      </c>
      <c r="R191" s="211">
        <f t="shared" si="71"/>
        <v>-13863.55768056727</v>
      </c>
    </row>
    <row r="192" spans="1:18" x14ac:dyDescent="0.25">
      <c r="A192" s="163">
        <v>5</v>
      </c>
      <c r="B192" s="202">
        <f t="shared" si="65"/>
        <v>43586</v>
      </c>
      <c r="C192" s="226">
        <f t="shared" si="85"/>
        <v>43621</v>
      </c>
      <c r="D192" s="226">
        <f t="shared" si="85"/>
        <v>43636</v>
      </c>
      <c r="E192" s="54" t="s">
        <v>59</v>
      </c>
      <c r="F192" s="163">
        <v>9</v>
      </c>
      <c r="G192" s="205">
        <v>49</v>
      </c>
      <c r="H192" s="206">
        <f t="shared" si="86"/>
        <v>904.88</v>
      </c>
      <c r="I192" s="206">
        <f t="shared" si="83"/>
        <v>564.18908876700141</v>
      </c>
      <c r="J192" s="207">
        <f t="shared" si="66"/>
        <v>27645.265349583067</v>
      </c>
      <c r="K192" s="208">
        <f t="shared" si="58"/>
        <v>44339.12</v>
      </c>
      <c r="L192" s="209">
        <f t="shared" si="87"/>
        <v>-16693.854650416935</v>
      </c>
      <c r="M192" s="210">
        <f t="shared" si="67"/>
        <v>-724.46140978297421</v>
      </c>
      <c r="N192" s="211">
        <f t="shared" si="68"/>
        <v>-17418.316060199908</v>
      </c>
      <c r="O192" s="210">
        <f t="shared" si="69"/>
        <v>0</v>
      </c>
      <c r="P192" s="210">
        <f t="shared" si="70"/>
        <v>0</v>
      </c>
      <c r="Q192" s="210">
        <v>0</v>
      </c>
      <c r="R192" s="211">
        <f t="shared" si="71"/>
        <v>-17418.316060199908</v>
      </c>
    </row>
    <row r="193" spans="1:18" x14ac:dyDescent="0.25">
      <c r="A193" s="163">
        <v>6</v>
      </c>
      <c r="B193" s="202">
        <f t="shared" si="65"/>
        <v>43617</v>
      </c>
      <c r="C193" s="226">
        <f t="shared" si="85"/>
        <v>43649</v>
      </c>
      <c r="D193" s="226">
        <f t="shared" si="85"/>
        <v>43664</v>
      </c>
      <c r="E193" s="54" t="s">
        <v>59</v>
      </c>
      <c r="F193" s="163">
        <v>9</v>
      </c>
      <c r="G193" s="205">
        <v>52</v>
      </c>
      <c r="H193" s="206">
        <f t="shared" si="86"/>
        <v>904.88</v>
      </c>
      <c r="I193" s="206">
        <f t="shared" si="83"/>
        <v>564.18908876700141</v>
      </c>
      <c r="J193" s="207">
        <f t="shared" si="66"/>
        <v>29337.832615884072</v>
      </c>
      <c r="K193" s="208">
        <f t="shared" si="58"/>
        <v>47053.760000000002</v>
      </c>
      <c r="L193" s="213">
        <f t="shared" si="87"/>
        <v>-17715.92738411593</v>
      </c>
      <c r="M193" s="210">
        <f t="shared" si="67"/>
        <v>-768.8161899737687</v>
      </c>
      <c r="N193" s="211">
        <f t="shared" si="68"/>
        <v>-18484.743574089698</v>
      </c>
      <c r="O193" s="210">
        <f t="shared" si="69"/>
        <v>0</v>
      </c>
      <c r="P193" s="210">
        <f t="shared" si="70"/>
        <v>0</v>
      </c>
      <c r="Q193" s="210">
        <v>0</v>
      </c>
      <c r="R193" s="211">
        <f t="shared" si="71"/>
        <v>-18484.743574089698</v>
      </c>
    </row>
    <row r="194" spans="1:18" x14ac:dyDescent="0.25">
      <c r="A194" s="126">
        <v>7</v>
      </c>
      <c r="B194" s="202">
        <f t="shared" si="65"/>
        <v>43647</v>
      </c>
      <c r="C194" s="226">
        <f t="shared" si="85"/>
        <v>43682</v>
      </c>
      <c r="D194" s="226">
        <f t="shared" si="85"/>
        <v>43697</v>
      </c>
      <c r="E194" s="54" t="s">
        <v>59</v>
      </c>
      <c r="F194" s="163">
        <v>9</v>
      </c>
      <c r="G194" s="205">
        <v>53</v>
      </c>
      <c r="H194" s="206">
        <f t="shared" si="86"/>
        <v>904.88</v>
      </c>
      <c r="I194" s="206">
        <f t="shared" si="83"/>
        <v>564.18908876700141</v>
      </c>
      <c r="J194" s="207">
        <f t="shared" si="66"/>
        <v>29902.021704651073</v>
      </c>
      <c r="K194" s="214">
        <f t="shared" si="58"/>
        <v>47958.64</v>
      </c>
      <c r="L194" s="213">
        <f t="shared" si="87"/>
        <v>-18056.618295348926</v>
      </c>
      <c r="M194" s="210">
        <f t="shared" si="67"/>
        <v>-783.6011167040333</v>
      </c>
      <c r="N194" s="211">
        <f t="shared" si="68"/>
        <v>-18840.21941205296</v>
      </c>
      <c r="O194" s="210">
        <f t="shared" si="69"/>
        <v>0</v>
      </c>
      <c r="P194" s="210">
        <f t="shared" si="70"/>
        <v>0</v>
      </c>
      <c r="Q194" s="210">
        <v>0</v>
      </c>
      <c r="R194" s="211">
        <f t="shared" si="71"/>
        <v>-18840.21941205296</v>
      </c>
    </row>
    <row r="195" spans="1:18" x14ac:dyDescent="0.25">
      <c r="A195" s="163">
        <v>8</v>
      </c>
      <c r="B195" s="202">
        <f t="shared" si="65"/>
        <v>43678</v>
      </c>
      <c r="C195" s="226">
        <f t="shared" si="85"/>
        <v>43712</v>
      </c>
      <c r="D195" s="226">
        <f t="shared" si="85"/>
        <v>43727</v>
      </c>
      <c r="E195" s="54" t="s">
        <v>59</v>
      </c>
      <c r="F195" s="163">
        <v>9</v>
      </c>
      <c r="G195" s="205">
        <v>53</v>
      </c>
      <c r="H195" s="206">
        <f t="shared" ref="H195:H199" si="88">$K$3</f>
        <v>798.4</v>
      </c>
      <c r="I195" s="206">
        <f t="shared" si="83"/>
        <v>564.18908876700141</v>
      </c>
      <c r="J195" s="207">
        <f t="shared" si="66"/>
        <v>29902.021704651073</v>
      </c>
      <c r="K195" s="214">
        <f t="shared" si="58"/>
        <v>42315.199999999997</v>
      </c>
      <c r="L195" s="213">
        <f t="shared" si="87"/>
        <v>-12413.178295348924</v>
      </c>
      <c r="M195" s="210">
        <f t="shared" si="67"/>
        <v>-783.6011167040333</v>
      </c>
      <c r="N195" s="211">
        <f t="shared" si="68"/>
        <v>-13196.779412052958</v>
      </c>
      <c r="O195" s="210">
        <f t="shared" si="69"/>
        <v>0</v>
      </c>
      <c r="P195" s="210">
        <f t="shared" si="70"/>
        <v>0</v>
      </c>
      <c r="Q195" s="210">
        <v>0</v>
      </c>
      <c r="R195" s="211">
        <f t="shared" si="71"/>
        <v>-13196.779412052958</v>
      </c>
    </row>
    <row r="196" spans="1:18" x14ac:dyDescent="0.25">
      <c r="A196" s="163">
        <v>9</v>
      </c>
      <c r="B196" s="202">
        <f t="shared" si="65"/>
        <v>43709</v>
      </c>
      <c r="C196" s="226">
        <f t="shared" si="85"/>
        <v>43741</v>
      </c>
      <c r="D196" s="226">
        <f t="shared" si="85"/>
        <v>43756</v>
      </c>
      <c r="E196" s="54" t="s">
        <v>59</v>
      </c>
      <c r="F196" s="163">
        <v>9</v>
      </c>
      <c r="G196" s="205">
        <v>49</v>
      </c>
      <c r="H196" s="206">
        <f t="shared" si="88"/>
        <v>798.4</v>
      </c>
      <c r="I196" s="206">
        <f t="shared" si="83"/>
        <v>564.18908876700141</v>
      </c>
      <c r="J196" s="207">
        <f t="shared" si="66"/>
        <v>27645.265349583067</v>
      </c>
      <c r="K196" s="214">
        <f t="shared" si="58"/>
        <v>39121.599999999999</v>
      </c>
      <c r="L196" s="213">
        <f t="shared" si="87"/>
        <v>-11476.334650416931</v>
      </c>
      <c r="M196" s="210">
        <f t="shared" si="67"/>
        <v>-724.46140978297421</v>
      </c>
      <c r="N196" s="211">
        <f t="shared" si="68"/>
        <v>-12200.796060199906</v>
      </c>
      <c r="O196" s="210">
        <f t="shared" si="69"/>
        <v>0</v>
      </c>
      <c r="P196" s="210">
        <f t="shared" si="70"/>
        <v>0</v>
      </c>
      <c r="Q196" s="210">
        <v>0</v>
      </c>
      <c r="R196" s="211">
        <f t="shared" si="71"/>
        <v>-12200.796060199906</v>
      </c>
    </row>
    <row r="197" spans="1:18" x14ac:dyDescent="0.25">
      <c r="A197" s="126">
        <v>10</v>
      </c>
      <c r="B197" s="202">
        <f t="shared" si="65"/>
        <v>43739</v>
      </c>
      <c r="C197" s="226">
        <f t="shared" si="85"/>
        <v>43774</v>
      </c>
      <c r="D197" s="226">
        <f t="shared" si="85"/>
        <v>43789</v>
      </c>
      <c r="E197" s="54" t="s">
        <v>59</v>
      </c>
      <c r="F197" s="163">
        <v>9</v>
      </c>
      <c r="G197" s="205">
        <v>49</v>
      </c>
      <c r="H197" s="206">
        <f t="shared" si="88"/>
        <v>798.4</v>
      </c>
      <c r="I197" s="206">
        <f t="shared" si="83"/>
        <v>564.18908876700141</v>
      </c>
      <c r="J197" s="207">
        <f t="shared" si="66"/>
        <v>27645.265349583067</v>
      </c>
      <c r="K197" s="214">
        <f t="shared" si="58"/>
        <v>39121.599999999999</v>
      </c>
      <c r="L197" s="213">
        <f t="shared" si="87"/>
        <v>-11476.334650416931</v>
      </c>
      <c r="M197" s="210">
        <f t="shared" si="67"/>
        <v>-724.46140978297421</v>
      </c>
      <c r="N197" s="211">
        <f t="shared" si="68"/>
        <v>-12200.796060199906</v>
      </c>
      <c r="O197" s="210">
        <f t="shared" si="69"/>
        <v>0</v>
      </c>
      <c r="P197" s="210">
        <f t="shared" si="70"/>
        <v>0</v>
      </c>
      <c r="Q197" s="210">
        <v>0</v>
      </c>
      <c r="R197" s="211">
        <f t="shared" si="71"/>
        <v>-12200.796060199906</v>
      </c>
    </row>
    <row r="198" spans="1:18" x14ac:dyDescent="0.25">
      <c r="A198" s="163">
        <v>11</v>
      </c>
      <c r="B198" s="202">
        <f t="shared" si="65"/>
        <v>43770</v>
      </c>
      <c r="C198" s="226">
        <f t="shared" si="85"/>
        <v>43803</v>
      </c>
      <c r="D198" s="226">
        <f t="shared" si="85"/>
        <v>43818</v>
      </c>
      <c r="E198" s="54" t="s">
        <v>59</v>
      </c>
      <c r="F198" s="163">
        <v>9</v>
      </c>
      <c r="G198" s="205">
        <v>35</v>
      </c>
      <c r="H198" s="206">
        <f t="shared" si="88"/>
        <v>798.4</v>
      </c>
      <c r="I198" s="206">
        <f t="shared" si="83"/>
        <v>564.18908876700141</v>
      </c>
      <c r="J198" s="207">
        <f t="shared" si="66"/>
        <v>19746.61810684505</v>
      </c>
      <c r="K198" s="214">
        <f t="shared" ref="K198:K209" si="89">+$G198*H198</f>
        <v>27944</v>
      </c>
      <c r="L198" s="213">
        <f t="shared" si="87"/>
        <v>-8197.3818931549504</v>
      </c>
      <c r="M198" s="210">
        <f t="shared" si="67"/>
        <v>-517.4724355592673</v>
      </c>
      <c r="N198" s="211">
        <f t="shared" si="68"/>
        <v>-8714.8543287142184</v>
      </c>
      <c r="O198" s="210">
        <f t="shared" si="69"/>
        <v>0</v>
      </c>
      <c r="P198" s="210">
        <f t="shared" si="70"/>
        <v>0</v>
      </c>
      <c r="Q198" s="210">
        <v>0</v>
      </c>
      <c r="R198" s="211">
        <f t="shared" si="71"/>
        <v>-8714.8543287142184</v>
      </c>
    </row>
    <row r="199" spans="1:18" s="230" customFormat="1" x14ac:dyDescent="0.25">
      <c r="A199" s="163">
        <v>12</v>
      </c>
      <c r="B199" s="228">
        <f t="shared" si="65"/>
        <v>43800</v>
      </c>
      <c r="C199" s="226">
        <f t="shared" si="85"/>
        <v>43833</v>
      </c>
      <c r="D199" s="226">
        <f t="shared" si="85"/>
        <v>43850</v>
      </c>
      <c r="E199" s="229" t="s">
        <v>59</v>
      </c>
      <c r="F199" s="174">
        <v>9</v>
      </c>
      <c r="G199" s="217">
        <v>35</v>
      </c>
      <c r="H199" s="218">
        <f t="shared" si="88"/>
        <v>798.4</v>
      </c>
      <c r="I199" s="218">
        <f t="shared" si="83"/>
        <v>564.18908876700141</v>
      </c>
      <c r="J199" s="219">
        <f t="shared" si="66"/>
        <v>19746.61810684505</v>
      </c>
      <c r="K199" s="220">
        <f t="shared" si="89"/>
        <v>27944</v>
      </c>
      <c r="L199" s="221">
        <f t="shared" si="87"/>
        <v>-8197.3818931549504</v>
      </c>
      <c r="M199" s="210">
        <f t="shared" si="67"/>
        <v>-517.4724355592673</v>
      </c>
      <c r="N199" s="211">
        <f t="shared" si="68"/>
        <v>-8714.8543287142184</v>
      </c>
      <c r="O199" s="210">
        <f t="shared" si="69"/>
        <v>0</v>
      </c>
      <c r="P199" s="210">
        <f t="shared" si="70"/>
        <v>0</v>
      </c>
      <c r="Q199" s="210">
        <v>0</v>
      </c>
      <c r="R199" s="211">
        <f t="shared" si="71"/>
        <v>-8714.8543287142184</v>
      </c>
    </row>
    <row r="200" spans="1:18" x14ac:dyDescent="0.25">
      <c r="A200" s="126">
        <v>1</v>
      </c>
      <c r="B200" s="202">
        <f t="shared" si="65"/>
        <v>43466</v>
      </c>
      <c r="C200" s="223">
        <f t="shared" si="85"/>
        <v>43501</v>
      </c>
      <c r="D200" s="223">
        <f t="shared" si="85"/>
        <v>43516</v>
      </c>
      <c r="E200" s="204" t="s">
        <v>17</v>
      </c>
      <c r="F200" s="126">
        <v>9</v>
      </c>
      <c r="G200" s="205">
        <v>104</v>
      </c>
      <c r="H200" s="206">
        <f t="shared" ref="H200:H206" si="90">+$K$6</f>
        <v>904.88</v>
      </c>
      <c r="I200" s="206">
        <f t="shared" si="83"/>
        <v>564.18908876700141</v>
      </c>
      <c r="J200" s="207">
        <f t="shared" si="66"/>
        <v>58675.665231768144</v>
      </c>
      <c r="K200" s="208">
        <f t="shared" si="89"/>
        <v>94107.520000000004</v>
      </c>
      <c r="L200" s="209">
        <f t="shared" si="87"/>
        <v>-35431.85476823186</v>
      </c>
      <c r="M200" s="210">
        <f t="shared" si="67"/>
        <v>-1537.6323799475374</v>
      </c>
      <c r="N200" s="211">
        <f t="shared" si="68"/>
        <v>-36969.487148179396</v>
      </c>
      <c r="O200" s="210">
        <f t="shared" si="69"/>
        <v>0</v>
      </c>
      <c r="P200" s="210">
        <f t="shared" si="70"/>
        <v>0</v>
      </c>
      <c r="Q200" s="210">
        <v>0</v>
      </c>
      <c r="R200" s="211">
        <f t="shared" si="71"/>
        <v>-36969.487148179396</v>
      </c>
    </row>
    <row r="201" spans="1:18" x14ac:dyDescent="0.25">
      <c r="A201" s="163">
        <v>2</v>
      </c>
      <c r="B201" s="202">
        <f t="shared" si="65"/>
        <v>43497</v>
      </c>
      <c r="C201" s="226">
        <f t="shared" si="85"/>
        <v>43529</v>
      </c>
      <c r="D201" s="226">
        <f t="shared" si="85"/>
        <v>43544</v>
      </c>
      <c r="E201" s="212" t="s">
        <v>17</v>
      </c>
      <c r="F201" s="163">
        <v>9</v>
      </c>
      <c r="G201" s="205">
        <v>103</v>
      </c>
      <c r="H201" s="206">
        <f t="shared" si="90"/>
        <v>904.88</v>
      </c>
      <c r="I201" s="206">
        <f t="shared" si="83"/>
        <v>564.18908876700141</v>
      </c>
      <c r="J201" s="207">
        <f t="shared" si="66"/>
        <v>58111.476143001142</v>
      </c>
      <c r="K201" s="208">
        <f t="shared" si="89"/>
        <v>93202.64</v>
      </c>
      <c r="L201" s="209">
        <f t="shared" si="87"/>
        <v>-35091.163856998857</v>
      </c>
      <c r="M201" s="210">
        <f t="shared" si="67"/>
        <v>-1522.8474532172725</v>
      </c>
      <c r="N201" s="211">
        <f t="shared" si="68"/>
        <v>-36614.011310216127</v>
      </c>
      <c r="O201" s="210">
        <f t="shared" si="69"/>
        <v>0</v>
      </c>
      <c r="P201" s="210">
        <f t="shared" si="70"/>
        <v>0</v>
      </c>
      <c r="Q201" s="210">
        <v>0</v>
      </c>
      <c r="R201" s="211">
        <f t="shared" si="71"/>
        <v>-36614.011310216127</v>
      </c>
    </row>
    <row r="202" spans="1:18" x14ac:dyDescent="0.25">
      <c r="A202" s="163">
        <v>3</v>
      </c>
      <c r="B202" s="202">
        <f t="shared" si="65"/>
        <v>43525</v>
      </c>
      <c r="C202" s="226">
        <f t="shared" si="85"/>
        <v>43558</v>
      </c>
      <c r="D202" s="226">
        <f t="shared" si="85"/>
        <v>43573</v>
      </c>
      <c r="E202" s="212" t="s">
        <v>17</v>
      </c>
      <c r="F202" s="163">
        <v>9</v>
      </c>
      <c r="G202" s="205">
        <v>105</v>
      </c>
      <c r="H202" s="206">
        <f t="shared" si="90"/>
        <v>904.88</v>
      </c>
      <c r="I202" s="206">
        <f t="shared" si="83"/>
        <v>564.18908876700141</v>
      </c>
      <c r="J202" s="207">
        <f t="shared" si="66"/>
        <v>59239.854320535145</v>
      </c>
      <c r="K202" s="208">
        <f t="shared" si="89"/>
        <v>95012.4</v>
      </c>
      <c r="L202" s="209">
        <f>+J202-K202</f>
        <v>-35772.545679464849</v>
      </c>
      <c r="M202" s="210">
        <f t="shared" si="67"/>
        <v>-1552.4173066778019</v>
      </c>
      <c r="N202" s="211">
        <f t="shared" si="68"/>
        <v>-37324.962986142651</v>
      </c>
      <c r="O202" s="210">
        <f t="shared" si="69"/>
        <v>0</v>
      </c>
      <c r="P202" s="210">
        <f t="shared" si="70"/>
        <v>0</v>
      </c>
      <c r="Q202" s="210">
        <v>0</v>
      </c>
      <c r="R202" s="211">
        <f t="shared" si="71"/>
        <v>-37324.962986142651</v>
      </c>
    </row>
    <row r="203" spans="1:18" x14ac:dyDescent="0.25">
      <c r="A203" s="126">
        <v>4</v>
      </c>
      <c r="B203" s="202">
        <f t="shared" si="65"/>
        <v>43556</v>
      </c>
      <c r="C203" s="226">
        <f t="shared" si="85"/>
        <v>43588</v>
      </c>
      <c r="D203" s="226">
        <f t="shared" si="85"/>
        <v>43605</v>
      </c>
      <c r="E203" s="212" t="s">
        <v>17</v>
      </c>
      <c r="F203" s="163">
        <v>9</v>
      </c>
      <c r="G203" s="205">
        <v>104</v>
      </c>
      <c r="H203" s="206">
        <f t="shared" si="90"/>
        <v>904.88</v>
      </c>
      <c r="I203" s="206">
        <f t="shared" si="83"/>
        <v>564.18908876700141</v>
      </c>
      <c r="J203" s="207">
        <f t="shared" si="66"/>
        <v>58675.665231768144</v>
      </c>
      <c r="K203" s="208">
        <f t="shared" si="89"/>
        <v>94107.520000000004</v>
      </c>
      <c r="L203" s="209">
        <f t="shared" ref="L203:L211" si="91">+J203-K203</f>
        <v>-35431.85476823186</v>
      </c>
      <c r="M203" s="210">
        <f t="shared" si="67"/>
        <v>-1537.6323799475374</v>
      </c>
      <c r="N203" s="211">
        <f t="shared" si="68"/>
        <v>-36969.487148179396</v>
      </c>
      <c r="O203" s="210">
        <f t="shared" si="69"/>
        <v>0</v>
      </c>
      <c r="P203" s="210">
        <f t="shared" si="70"/>
        <v>0</v>
      </c>
      <c r="Q203" s="210">
        <v>0</v>
      </c>
      <c r="R203" s="211">
        <f t="shared" si="71"/>
        <v>-36969.487148179396</v>
      </c>
    </row>
    <row r="204" spans="1:18" x14ac:dyDescent="0.25">
      <c r="A204" s="163">
        <v>5</v>
      </c>
      <c r="B204" s="202">
        <f t="shared" si="65"/>
        <v>43586</v>
      </c>
      <c r="C204" s="226">
        <f t="shared" si="85"/>
        <v>43621</v>
      </c>
      <c r="D204" s="226">
        <f t="shared" si="85"/>
        <v>43636</v>
      </c>
      <c r="E204" s="54" t="s">
        <v>17</v>
      </c>
      <c r="F204" s="163">
        <v>9</v>
      </c>
      <c r="G204" s="205">
        <v>106</v>
      </c>
      <c r="H204" s="206">
        <f t="shared" si="90"/>
        <v>904.88</v>
      </c>
      <c r="I204" s="206">
        <f t="shared" si="83"/>
        <v>564.18908876700141</v>
      </c>
      <c r="J204" s="207">
        <f t="shared" si="66"/>
        <v>59804.043409302147</v>
      </c>
      <c r="K204" s="208">
        <f t="shared" si="89"/>
        <v>95917.28</v>
      </c>
      <c r="L204" s="209">
        <f t="shared" si="91"/>
        <v>-36113.236590697852</v>
      </c>
      <c r="M204" s="210">
        <f t="shared" si="67"/>
        <v>-1567.2022334080666</v>
      </c>
      <c r="N204" s="211">
        <f t="shared" si="68"/>
        <v>-37680.438824105921</v>
      </c>
      <c r="O204" s="210">
        <f t="shared" si="69"/>
        <v>0</v>
      </c>
      <c r="P204" s="210">
        <f t="shared" si="70"/>
        <v>0</v>
      </c>
      <c r="Q204" s="210">
        <v>0</v>
      </c>
      <c r="R204" s="211">
        <f t="shared" si="71"/>
        <v>-37680.438824105921</v>
      </c>
    </row>
    <row r="205" spans="1:18" x14ac:dyDescent="0.25">
      <c r="A205" s="163">
        <v>6</v>
      </c>
      <c r="B205" s="202">
        <f t="shared" si="65"/>
        <v>43617</v>
      </c>
      <c r="C205" s="226">
        <f t="shared" si="85"/>
        <v>43649</v>
      </c>
      <c r="D205" s="226">
        <f t="shared" si="85"/>
        <v>43664</v>
      </c>
      <c r="E205" s="54" t="s">
        <v>17</v>
      </c>
      <c r="F205" s="163">
        <v>9</v>
      </c>
      <c r="G205" s="205">
        <v>100</v>
      </c>
      <c r="H205" s="206">
        <f t="shared" si="90"/>
        <v>904.88</v>
      </c>
      <c r="I205" s="206">
        <f t="shared" si="83"/>
        <v>564.18908876700141</v>
      </c>
      <c r="J205" s="207">
        <f t="shared" si="66"/>
        <v>56418.908876700138</v>
      </c>
      <c r="K205" s="208">
        <f t="shared" si="89"/>
        <v>90488</v>
      </c>
      <c r="L205" s="213">
        <f t="shared" si="91"/>
        <v>-34069.091123299862</v>
      </c>
      <c r="M205" s="210">
        <f t="shared" si="67"/>
        <v>-1478.4926730264781</v>
      </c>
      <c r="N205" s="211">
        <f t="shared" si="68"/>
        <v>-35547.58379632634</v>
      </c>
      <c r="O205" s="210">
        <f t="shared" si="69"/>
        <v>0</v>
      </c>
      <c r="P205" s="210">
        <f t="shared" si="70"/>
        <v>0</v>
      </c>
      <c r="Q205" s="210">
        <v>0</v>
      </c>
      <c r="R205" s="211">
        <f t="shared" si="71"/>
        <v>-35547.58379632634</v>
      </c>
    </row>
    <row r="206" spans="1:18" x14ac:dyDescent="0.25">
      <c r="A206" s="126">
        <v>7</v>
      </c>
      <c r="B206" s="202">
        <f t="shared" si="65"/>
        <v>43647</v>
      </c>
      <c r="C206" s="226">
        <f t="shared" si="85"/>
        <v>43682</v>
      </c>
      <c r="D206" s="226">
        <f t="shared" si="85"/>
        <v>43697</v>
      </c>
      <c r="E206" s="54" t="s">
        <v>17</v>
      </c>
      <c r="F206" s="163">
        <v>9</v>
      </c>
      <c r="G206" s="205">
        <v>117</v>
      </c>
      <c r="H206" s="206">
        <f t="shared" si="90"/>
        <v>904.88</v>
      </c>
      <c r="I206" s="206">
        <f t="shared" si="83"/>
        <v>564.18908876700141</v>
      </c>
      <c r="J206" s="207">
        <f t="shared" si="66"/>
        <v>66010.123385739163</v>
      </c>
      <c r="K206" s="214">
        <f t="shared" si="89"/>
        <v>105870.96</v>
      </c>
      <c r="L206" s="213">
        <f t="shared" si="91"/>
        <v>-39860.836614260843</v>
      </c>
      <c r="M206" s="210">
        <f t="shared" si="67"/>
        <v>-1729.8364274409792</v>
      </c>
      <c r="N206" s="211">
        <f t="shared" si="68"/>
        <v>-41590.673041701819</v>
      </c>
      <c r="O206" s="210">
        <f t="shared" si="69"/>
        <v>0</v>
      </c>
      <c r="P206" s="210">
        <f t="shared" si="70"/>
        <v>0</v>
      </c>
      <c r="Q206" s="210">
        <v>0</v>
      </c>
      <c r="R206" s="211">
        <f t="shared" si="71"/>
        <v>-41590.673041701819</v>
      </c>
    </row>
    <row r="207" spans="1:18" x14ac:dyDescent="0.25">
      <c r="A207" s="163">
        <v>8</v>
      </c>
      <c r="B207" s="202">
        <f t="shared" si="65"/>
        <v>43678</v>
      </c>
      <c r="C207" s="226">
        <f t="shared" si="85"/>
        <v>43712</v>
      </c>
      <c r="D207" s="226">
        <f t="shared" si="85"/>
        <v>43727</v>
      </c>
      <c r="E207" s="54" t="s">
        <v>17</v>
      </c>
      <c r="F207" s="163">
        <v>9</v>
      </c>
      <c r="G207" s="205">
        <v>116</v>
      </c>
      <c r="H207" s="206">
        <f t="shared" ref="H207:H211" si="92">$K$3</f>
        <v>798.4</v>
      </c>
      <c r="I207" s="206">
        <f t="shared" si="83"/>
        <v>564.18908876700141</v>
      </c>
      <c r="J207" s="207">
        <f t="shared" si="66"/>
        <v>65445.934296972162</v>
      </c>
      <c r="K207" s="214">
        <f t="shared" si="89"/>
        <v>92614.399999999994</v>
      </c>
      <c r="L207" s="213">
        <f t="shared" si="91"/>
        <v>-27168.465703027832</v>
      </c>
      <c r="M207" s="210">
        <f t="shared" si="67"/>
        <v>-1715.0515007107147</v>
      </c>
      <c r="N207" s="211">
        <f t="shared" si="68"/>
        <v>-28883.517203738546</v>
      </c>
      <c r="O207" s="210">
        <f t="shared" si="69"/>
        <v>0</v>
      </c>
      <c r="P207" s="210">
        <f t="shared" si="70"/>
        <v>0</v>
      </c>
      <c r="Q207" s="210">
        <v>0</v>
      </c>
      <c r="R207" s="211">
        <f t="shared" si="71"/>
        <v>-28883.517203738546</v>
      </c>
    </row>
    <row r="208" spans="1:18" x14ac:dyDescent="0.25">
      <c r="A208" s="163">
        <v>9</v>
      </c>
      <c r="B208" s="202">
        <f t="shared" si="65"/>
        <v>43709</v>
      </c>
      <c r="C208" s="226">
        <f t="shared" si="85"/>
        <v>43741</v>
      </c>
      <c r="D208" s="226">
        <f t="shared" si="85"/>
        <v>43756</v>
      </c>
      <c r="E208" s="54" t="s">
        <v>17</v>
      </c>
      <c r="F208" s="163">
        <v>9</v>
      </c>
      <c r="G208" s="205">
        <v>113</v>
      </c>
      <c r="H208" s="206">
        <f t="shared" si="92"/>
        <v>798.4</v>
      </c>
      <c r="I208" s="206">
        <f t="shared" si="83"/>
        <v>564.18908876700141</v>
      </c>
      <c r="J208" s="207">
        <f t="shared" si="66"/>
        <v>63753.367030671157</v>
      </c>
      <c r="K208" s="214">
        <f t="shared" si="89"/>
        <v>90219.199999999997</v>
      </c>
      <c r="L208" s="213">
        <f t="shared" si="91"/>
        <v>-26465.83296932884</v>
      </c>
      <c r="M208" s="210">
        <f t="shared" si="67"/>
        <v>-1670.6967205199201</v>
      </c>
      <c r="N208" s="211">
        <f t="shared" si="68"/>
        <v>-28136.529689848761</v>
      </c>
      <c r="O208" s="210">
        <f t="shared" si="69"/>
        <v>0</v>
      </c>
      <c r="P208" s="210">
        <f t="shared" si="70"/>
        <v>0</v>
      </c>
      <c r="Q208" s="210">
        <v>0</v>
      </c>
      <c r="R208" s="211">
        <f t="shared" si="71"/>
        <v>-28136.529689848761</v>
      </c>
    </row>
    <row r="209" spans="1:18" x14ac:dyDescent="0.25">
      <c r="A209" s="126">
        <v>10</v>
      </c>
      <c r="B209" s="202">
        <f t="shared" si="65"/>
        <v>43739</v>
      </c>
      <c r="C209" s="226">
        <f t="shared" si="85"/>
        <v>43774</v>
      </c>
      <c r="D209" s="226">
        <f t="shared" si="85"/>
        <v>43789</v>
      </c>
      <c r="E209" s="54" t="s">
        <v>17</v>
      </c>
      <c r="F209" s="163">
        <v>9</v>
      </c>
      <c r="G209" s="205">
        <v>113</v>
      </c>
      <c r="H209" s="206">
        <f t="shared" si="92"/>
        <v>798.4</v>
      </c>
      <c r="I209" s="206">
        <f t="shared" si="83"/>
        <v>564.18908876700141</v>
      </c>
      <c r="J209" s="207">
        <f t="shared" si="66"/>
        <v>63753.367030671157</v>
      </c>
      <c r="K209" s="214">
        <f t="shared" si="89"/>
        <v>90219.199999999997</v>
      </c>
      <c r="L209" s="213">
        <f t="shared" si="91"/>
        <v>-26465.83296932884</v>
      </c>
      <c r="M209" s="210">
        <f t="shared" si="67"/>
        <v>-1670.6967205199201</v>
      </c>
      <c r="N209" s="211">
        <f t="shared" si="68"/>
        <v>-28136.529689848761</v>
      </c>
      <c r="O209" s="210">
        <f t="shared" si="69"/>
        <v>0</v>
      </c>
      <c r="P209" s="210">
        <f t="shared" si="70"/>
        <v>0</v>
      </c>
      <c r="Q209" s="210">
        <v>0</v>
      </c>
      <c r="R209" s="211">
        <f t="shared" si="71"/>
        <v>-28136.529689848761</v>
      </c>
    </row>
    <row r="210" spans="1:18" x14ac:dyDescent="0.25">
      <c r="A210" s="163">
        <v>11</v>
      </c>
      <c r="B210" s="202">
        <f t="shared" si="65"/>
        <v>43770</v>
      </c>
      <c r="C210" s="226">
        <f t="shared" si="85"/>
        <v>43803</v>
      </c>
      <c r="D210" s="226">
        <f t="shared" si="85"/>
        <v>43818</v>
      </c>
      <c r="E210" s="54" t="s">
        <v>17</v>
      </c>
      <c r="F210" s="163">
        <v>9</v>
      </c>
      <c r="G210" s="205">
        <v>104</v>
      </c>
      <c r="H210" s="206">
        <f t="shared" si="92"/>
        <v>798.4</v>
      </c>
      <c r="I210" s="206">
        <f t="shared" si="83"/>
        <v>564.18908876700141</v>
      </c>
      <c r="J210" s="207">
        <f t="shared" si="66"/>
        <v>58675.665231768144</v>
      </c>
      <c r="K210" s="214">
        <f>+$G210*H210</f>
        <v>83033.599999999991</v>
      </c>
      <c r="L210" s="213">
        <f t="shared" si="91"/>
        <v>-24357.934768231848</v>
      </c>
      <c r="M210" s="210">
        <f t="shared" si="67"/>
        <v>-1537.6323799475374</v>
      </c>
      <c r="N210" s="211">
        <f t="shared" si="68"/>
        <v>-25895.567148179383</v>
      </c>
      <c r="O210" s="210">
        <f t="shared" si="69"/>
        <v>0</v>
      </c>
      <c r="P210" s="210">
        <f t="shared" si="70"/>
        <v>0</v>
      </c>
      <c r="Q210" s="210">
        <v>0</v>
      </c>
      <c r="R210" s="211">
        <f t="shared" si="71"/>
        <v>-25895.567148179383</v>
      </c>
    </row>
    <row r="211" spans="1:18" s="230" customFormat="1" x14ac:dyDescent="0.25">
      <c r="A211" s="163">
        <v>12</v>
      </c>
      <c r="B211" s="228">
        <f t="shared" si="65"/>
        <v>43800</v>
      </c>
      <c r="C211" s="231">
        <f t="shared" si="85"/>
        <v>43833</v>
      </c>
      <c r="D211" s="231">
        <f t="shared" si="85"/>
        <v>43850</v>
      </c>
      <c r="E211" s="229" t="s">
        <v>17</v>
      </c>
      <c r="F211" s="174">
        <v>9</v>
      </c>
      <c r="G211" s="217">
        <v>41</v>
      </c>
      <c r="H211" s="218">
        <f t="shared" si="92"/>
        <v>798.4</v>
      </c>
      <c r="I211" s="218">
        <f t="shared" si="83"/>
        <v>564.18908876700141</v>
      </c>
      <c r="J211" s="219">
        <f t="shared" si="66"/>
        <v>23131.752639447059</v>
      </c>
      <c r="K211" s="220">
        <f>+$G211*H211</f>
        <v>32734.399999999998</v>
      </c>
      <c r="L211" s="221">
        <f t="shared" si="91"/>
        <v>-9602.6473605529391</v>
      </c>
      <c r="M211" s="219">
        <f t="shared" si="67"/>
        <v>-606.18199594085604</v>
      </c>
      <c r="N211" s="211">
        <f t="shared" si="68"/>
        <v>-10208.829356493796</v>
      </c>
      <c r="O211" s="219">
        <f t="shared" si="69"/>
        <v>0</v>
      </c>
      <c r="P211" s="236">
        <f t="shared" si="70"/>
        <v>0</v>
      </c>
      <c r="Q211" s="210">
        <v>0</v>
      </c>
      <c r="R211" s="211">
        <f t="shared" si="71"/>
        <v>-10208.829356493796</v>
      </c>
    </row>
    <row r="212" spans="1:18" x14ac:dyDescent="0.25">
      <c r="G212" s="237">
        <f>SUM(G20:G211)</f>
        <v>103218</v>
      </c>
      <c r="H212" s="51"/>
      <c r="I212" s="51"/>
      <c r="J212" s="51">
        <f>SUM(J20:J211)</f>
        <v>58234469.364352331</v>
      </c>
      <c r="K212" s="51">
        <f>SUM(K20:K211)</f>
        <v>88619803.679999992</v>
      </c>
      <c r="L212" s="51">
        <f>SUM(L20:L211)</f>
        <v>-30385334.315647632</v>
      </c>
      <c r="M212" s="51">
        <f>SUM(M20:M211)</f>
        <v>-1526070.5672444683</v>
      </c>
      <c r="N212" s="51"/>
      <c r="O212" s="51"/>
      <c r="P212" s="51">
        <f>SUM(P20:P211)</f>
        <v>0</v>
      </c>
      <c r="Q212" s="51"/>
      <c r="R212" s="238">
        <f>SUM(R20:R211)</f>
        <v>-31911404.882892124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62670889-1A60-4E9E-9944-2E93C075105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2020-07-02T18:01:50Z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6c50bb87-5e35-48e4-8c52-adbcd654b860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